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110 HỮU LŨNG 2\"/>
    </mc:Choice>
  </mc:AlternateContent>
  <xr:revisionPtr revIDLastSave="0" documentId="13_ncr:1_{0EAC9D40-5C59-4155-91C1-ED11ECA400E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ổng" sheetId="13" r:id="rId1"/>
    <sheet name="Đất" sheetId="2" r:id="rId2"/>
    <sheet name="Cây" sheetId="10" r:id="rId3"/>
    <sheet name="Công trình" sheetId="12" r:id="rId4"/>
  </sheets>
  <definedNames>
    <definedName name="_xlnm._FilterDatabase" localSheetId="2" hidden="1">Cây!$A$7:$O$26</definedName>
    <definedName name="_xlnm._FilterDatabase" localSheetId="3" hidden="1">'Công trình'!$A$5:$J$10</definedName>
    <definedName name="_xlnm._FilterDatabase" localSheetId="1" hidden="1">Đất!$A$6:$V$29</definedName>
    <definedName name="_xlnm._FilterDatabase" localSheetId="0" hidden="1">Tổng!$A$6:$G$15</definedName>
    <definedName name="_xlnm.Print_Area" localSheetId="2">Cây!$A$1:$I$26</definedName>
    <definedName name="_xlnm.Print_Area" localSheetId="3">'Công trình'!$A$1:$I$10</definedName>
    <definedName name="_xlnm.Print_Area" localSheetId="1">Đất!$A$1:$V$29</definedName>
    <definedName name="_xlnm.Print_Area" localSheetId="0">Tổng!$A$1:$H$15</definedName>
    <definedName name="_xlnm.Print_Titles" localSheetId="2">Cây!$1:$7</definedName>
    <definedName name="_xlnm.Print_Titles" localSheetId="1">Đất!$1:$5</definedName>
    <definedName name="_xlnm.Print_Titles" localSheetId="0">Tổng!$4:$5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0" l="1"/>
  <c r="O11" i="10"/>
  <c r="F7" i="13"/>
  <c r="E11" i="13" l="1"/>
  <c r="E14" i="13"/>
  <c r="E23" i="10" l="1"/>
  <c r="O22" i="10"/>
  <c r="E21" i="10"/>
  <c r="I21" i="10" s="1"/>
  <c r="G8" i="12"/>
  <c r="E8" i="12"/>
  <c r="I8" i="12" s="1"/>
  <c r="I16" i="10"/>
  <c r="E13" i="10"/>
  <c r="I13" i="10" l="1"/>
  <c r="I15" i="10"/>
  <c r="N11" i="10"/>
  <c r="I12" i="10"/>
  <c r="O14" i="10" l="1"/>
  <c r="O20" i="10"/>
  <c r="I14" i="10" l="1"/>
  <c r="E27" i="2"/>
  <c r="M28" i="2" l="1"/>
  <c r="E24" i="2"/>
  <c r="M25" i="2"/>
  <c r="E21" i="2"/>
  <c r="M22" i="2"/>
  <c r="P28" i="2" l="1"/>
  <c r="N28" i="2"/>
  <c r="N25" i="2"/>
  <c r="P25" i="2"/>
  <c r="P22" i="2"/>
  <c r="N22" i="2"/>
  <c r="E9" i="2"/>
  <c r="M11" i="2"/>
  <c r="M10" i="2"/>
  <c r="I25" i="10"/>
  <c r="N10" i="2" l="1"/>
  <c r="P10" i="2"/>
  <c r="P11" i="2"/>
  <c r="N11" i="2"/>
  <c r="M12" i="2"/>
  <c r="M14" i="2"/>
  <c r="M16" i="2"/>
  <c r="M18" i="2"/>
  <c r="M20" i="2"/>
  <c r="N20" i="2" s="1"/>
  <c r="M23" i="2"/>
  <c r="M26" i="2"/>
  <c r="M29" i="2"/>
  <c r="P18" i="2" l="1"/>
  <c r="N18" i="2"/>
  <c r="N17" i="2" s="1"/>
  <c r="D11" i="13" s="1"/>
  <c r="P16" i="2"/>
  <c r="P15" i="2" s="1"/>
  <c r="G10" i="13" s="1"/>
  <c r="N16" i="2"/>
  <c r="N15" i="2" s="1"/>
  <c r="D10" i="13" s="1"/>
  <c r="P14" i="2"/>
  <c r="N14" i="2"/>
  <c r="N13" i="2" s="1"/>
  <c r="D9" i="13" s="1"/>
  <c r="N26" i="2"/>
  <c r="N24" i="2" s="1"/>
  <c r="D14" i="13" s="1"/>
  <c r="P26" i="2"/>
  <c r="P24" i="2" s="1"/>
  <c r="G14" i="13" s="1"/>
  <c r="P23" i="2"/>
  <c r="P21" i="2" s="1"/>
  <c r="G13" i="13" s="1"/>
  <c r="N23" i="2"/>
  <c r="N21" i="2" s="1"/>
  <c r="D13" i="13" s="1"/>
  <c r="P20" i="2"/>
  <c r="P19" i="2" s="1"/>
  <c r="G12" i="13" s="1"/>
  <c r="N19" i="2"/>
  <c r="D12" i="13" s="1"/>
  <c r="P17" i="2"/>
  <c r="G11" i="13" s="1"/>
  <c r="N29" i="2"/>
  <c r="N27" i="2" s="1"/>
  <c r="D15" i="13" s="1"/>
  <c r="P29" i="2"/>
  <c r="P27" i="2" s="1"/>
  <c r="G15" i="13" s="1"/>
  <c r="P12" i="2"/>
  <c r="P9" i="2" s="1"/>
  <c r="N12" i="2"/>
  <c r="N9" i="2" s="1"/>
  <c r="P13" i="2"/>
  <c r="G9" i="13" s="1"/>
  <c r="C9" i="13" l="1"/>
  <c r="D8" i="13"/>
  <c r="N8" i="2"/>
  <c r="G8" i="13"/>
  <c r="P8" i="2"/>
  <c r="C14" i="13"/>
  <c r="C11" i="13"/>
  <c r="C12" i="13"/>
  <c r="C13" i="13"/>
  <c r="I18" i="10"/>
  <c r="I17" i="10" s="1"/>
  <c r="I11" i="10"/>
  <c r="I10" i="10" s="1"/>
  <c r="E8" i="13" s="1"/>
  <c r="I22" i="10"/>
  <c r="C8" i="13" l="1"/>
  <c r="C10" i="13"/>
  <c r="E19" i="2"/>
  <c r="D7" i="13" l="1"/>
  <c r="E13" i="2"/>
  <c r="E15" i="2"/>
  <c r="E17" i="2" l="1"/>
  <c r="E8" i="2" s="1"/>
  <c r="I23" i="10"/>
  <c r="I26" i="10"/>
  <c r="I24" i="10" s="1"/>
  <c r="I20" i="10"/>
  <c r="E15" i="13" l="1"/>
  <c r="I19" i="10"/>
  <c r="I9" i="10" s="1"/>
  <c r="G7" i="13"/>
  <c r="G10" i="12"/>
  <c r="C15" i="13" l="1"/>
  <c r="C7" i="13" s="1"/>
  <c r="E7" i="13"/>
  <c r="E10" i="12"/>
  <c r="A7" i="12" l="1"/>
  <c r="I10" i="12"/>
  <c r="I9" i="12" s="1"/>
  <c r="I7" i="12"/>
  <c r="I6" i="12" s="1"/>
</calcChain>
</file>

<file path=xl/sharedStrings.xml><?xml version="1.0" encoding="utf-8"?>
<sst xmlns="http://schemas.openxmlformats.org/spreadsheetml/2006/main" count="276" uniqueCount="133">
  <si>
    <t>Đơn vị tính: đồng</t>
  </si>
  <si>
    <t>STT</t>
  </si>
  <si>
    <t>Bồi thường đất</t>
  </si>
  <si>
    <t>Hỗ trợ</t>
  </si>
  <si>
    <t>I</t>
  </si>
  <si>
    <t>Số
TT</t>
  </si>
  <si>
    <t>Mảnh trích đo địa chính</t>
  </si>
  <si>
    <t>Loại đất tính bồi thường, hỗ trợ</t>
  </si>
  <si>
    <t>Mảnh trích đo số</t>
  </si>
  <si>
    <t>Thửa đất số</t>
  </si>
  <si>
    <t xml:space="preserve">Loại đất </t>
  </si>
  <si>
    <t>Hệ số</t>
  </si>
  <si>
    <t>HNK</t>
  </si>
  <si>
    <t>CLN</t>
  </si>
  <si>
    <t>Diện tích (m2)</t>
  </si>
  <si>
    <t>Số TT</t>
  </si>
  <si>
    <t>Số lượng</t>
  </si>
  <si>
    <t>Đơn vị tính</t>
  </si>
  <si>
    <t>Trồng trên</t>
  </si>
  <si>
    <t>Ghi chú</t>
  </si>
  <si>
    <t>Tờ BĐ số</t>
  </si>
  <si>
    <t>Thửa số</t>
  </si>
  <si>
    <r>
      <t>Diện tích (m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</si>
  <si>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t>mật độ</t>
  </si>
  <si>
    <t>tổng</t>
  </si>
  <si>
    <t>8=5*7*8</t>
  </si>
  <si>
    <t>Bồi thường</t>
  </si>
  <si>
    <t xml:space="preserve">Bồi thường, cây trồng, vật nuôi </t>
  </si>
  <si>
    <t>Hỗ trợ đào tạo, chuyển đổi nghề và tìm kiếm việc làm</t>
  </si>
  <si>
    <r>
      <t xml:space="preserve">Họ và Tên </t>
    </r>
    <r>
      <rPr>
        <b/>
        <i/>
        <sz val="12"/>
        <rFont val="Times New Roman"/>
        <family val="1"/>
      </rPr>
      <t>(đại diện hộ gia đình)</t>
    </r>
  </si>
  <si>
    <t>Vị trí</t>
  </si>
  <si>
    <r>
      <t xml:space="preserve">Các thông số </t>
    </r>
    <r>
      <rPr>
        <i/>
        <sz val="12"/>
        <color theme="1"/>
        <rFont val="Times New Roman"/>
        <family val="1"/>
      </rPr>
      <t>(Thời điểm nuôi, trồng, Đk gốc, chiều cao...)</t>
    </r>
  </si>
  <si>
    <t>Đơn giá 
(Đồng)</t>
  </si>
  <si>
    <t>Thành tiền (Đồng)</t>
  </si>
  <si>
    <t>BIỂU TÍNH CHI TIẾT BỒI THƯỜNG CÔNG TRÌNH, VẬT KIẾN TRÚC</t>
  </si>
  <si>
    <t>Loại nhà</t>
  </si>
  <si>
    <t>Kích thước</t>
  </si>
  <si>
    <t>Khối lượng</t>
  </si>
  <si>
    <t>Đơn giá
(Đồng)</t>
  </si>
  <si>
    <t>Hệ số
(%)</t>
  </si>
  <si>
    <r>
      <t xml:space="preserve">Họ và Tên </t>
    </r>
    <r>
      <rPr>
        <b/>
        <i/>
        <sz val="14"/>
        <rFont val="Times New Roman"/>
        <family val="1"/>
      </rPr>
      <t>(đại diện hộ gia đình)</t>
    </r>
  </si>
  <si>
    <t>LUC</t>
  </si>
  <si>
    <t>m2</t>
  </si>
  <si>
    <t>Tường xây cay không trát</t>
  </si>
  <si>
    <t>loại đất</t>
  </si>
  <si>
    <t>đơn giá</t>
  </si>
  <si>
    <r>
      <t xml:space="preserve">Tổng kinh phí bồi thường, hỗ trợ </t>
    </r>
    <r>
      <rPr>
        <b/>
        <i/>
        <sz val="14"/>
        <rFont val="Times New Roman"/>
        <family val="1"/>
      </rPr>
      <t>(làm tròn)</t>
    </r>
  </si>
  <si>
    <t>Nguyễn Văn Sông</t>
  </si>
  <si>
    <t>3,0*1,2</t>
  </si>
  <si>
    <t>LUK</t>
  </si>
  <si>
    <t>RSX</t>
  </si>
  <si>
    <t>bồi thường</t>
  </si>
  <si>
    <t>ONT</t>
  </si>
  <si>
    <t>Cây</t>
  </si>
  <si>
    <t>1ha=10.000=&gt; /mật độ theo QD</t>
  </si>
  <si>
    <t>XÃ HỮU LŨNG</t>
  </si>
  <si>
    <t>NTS</t>
  </si>
  <si>
    <t>Thành tiền
(đồng/m2)</t>
  </si>
  <si>
    <t>Vị trí 1</t>
  </si>
  <si>
    <t>DỰ TOÁN PHƯƠNG ÁN BỒI THƯỜNG, HỖ TRỢ TẠM TÍNH</t>
  </si>
  <si>
    <t>Loại cây, hoa màu</t>
  </si>
  <si>
    <t>NGƯỜI LẬP BIỂU</t>
  </si>
  <si>
    <t>TRƯỞNG CHI NHÁNH</t>
  </si>
  <si>
    <t>Vũ Thị Tuyết Băng</t>
  </si>
  <si>
    <t>Bùi Công Thăng</t>
  </si>
  <si>
    <t>* Thôn Tân Hoa</t>
  </si>
  <si>
    <t>Dương Tùng An</t>
  </si>
  <si>
    <t>Hoàng Văn Lằm</t>
  </si>
  <si>
    <t>Hoàng Văn Năm</t>
  </si>
  <si>
    <t>Lý Thị Chi</t>
  </si>
  <si>
    <t>Hoàng Thị Năm</t>
  </si>
  <si>
    <t>Hoàng Văn Dương</t>
  </si>
  <si>
    <t>Lý Văn Lô</t>
  </si>
  <si>
    <t>Chu Văn Trưởng</t>
  </si>
  <si>
    <t>Bản đồ địa chính</t>
  </si>
  <si>
    <t>Tờ bản đồ số</t>
  </si>
  <si>
    <t>Loại đất</t>
  </si>
  <si>
    <t>Giấy tờ pháp lý</t>
  </si>
  <si>
    <t>Ngày cấp</t>
  </si>
  <si>
    <t>Chủ sử dụng theo GCN QSDĐ (ghi rõ hộ ông (bà) hay cá nhân, ĐC thường trú</t>
  </si>
  <si>
    <t>Loại đất được cấp theo GCN</t>
  </si>
  <si>
    <t>93-1</t>
  </si>
  <si>
    <t>92-1</t>
  </si>
  <si>
    <t>97-1</t>
  </si>
  <si>
    <t>m</t>
  </si>
  <si>
    <t>l</t>
  </si>
  <si>
    <t>25-2</t>
  </si>
  <si>
    <t>25-4</t>
  </si>
  <si>
    <t>26-1</t>
  </si>
  <si>
    <t>18-1</t>
  </si>
  <si>
    <t>17-1</t>
  </si>
  <si>
    <t>17-2</t>
  </si>
  <si>
    <t>15-1</t>
  </si>
  <si>
    <t>14-1</t>
  </si>
  <si>
    <t>13-1</t>
  </si>
  <si>
    <t>11-1</t>
  </si>
  <si>
    <t>v</t>
  </si>
  <si>
    <t>Keo chủ</t>
  </si>
  <si>
    <t>Trồng năm thứ nhất</t>
  </si>
  <si>
    <t>Trồng năm thứ 3</t>
  </si>
  <si>
    <t>8*0,2</t>
  </si>
  <si>
    <t>Dự án: Đường dây và trạm biến áp 110kV Hữu Lũng 2</t>
  </si>
  <si>
    <r>
      <t xml:space="preserve">Họ và tên </t>
    </r>
    <r>
      <rPr>
        <b/>
        <i/>
        <sz val="12"/>
        <rFont val="Times New Roman"/>
        <family val="1"/>
      </rPr>
      <t>(các ông bà là đại diện hộ gia đình)</t>
    </r>
    <r>
      <rPr>
        <b/>
        <sz val="12"/>
        <rFont val="Times New Roman"/>
        <family val="1"/>
      </rPr>
      <t xml:space="preserve"> /hạng mục công trình                                                          </t>
    </r>
  </si>
  <si>
    <t>Ngô</t>
  </si>
  <si>
    <t>Trồng năm thứ 2</t>
  </si>
  <si>
    <t>Lúa</t>
  </si>
  <si>
    <t>1</t>
  </si>
  <si>
    <t>Đơn giá theo Nghị quyết 48/2025/NQ-HĐND (đồng/m2)</t>
  </si>
  <si>
    <t xml:space="preserve"> BIỂU TÍNH CHI TIẾT BỒI THƯỜNG VÀ HỖ TRỢ VỀ ĐẤT</t>
  </si>
  <si>
    <t>BIỂU TÍNH CHI TIẾT BỒI THƯỜNG VÀ HỖ TRỢ CÂY TRỒNG, VẬT NUÔI</t>
  </si>
  <si>
    <t>Bồi thường công trình, vật kiến trúc</t>
  </si>
  <si>
    <t>Số phát hành GCN</t>
  </si>
  <si>
    <t>Ông Dương Tùng An</t>
  </si>
  <si>
    <t>Chưa được cấp</t>
  </si>
  <si>
    <t>N830947</t>
  </si>
  <si>
    <t>10/5/1999</t>
  </si>
  <si>
    <t>Diện tích được cấp theo GCN (m2)</t>
  </si>
  <si>
    <t>N 830528</t>
  </si>
  <si>
    <t>Ông Hoàng Văn Éng</t>
  </si>
  <si>
    <t>diện tích trong sổ gộp chung thửa 92 với 96</t>
  </si>
  <si>
    <t>N 830517</t>
  </si>
  <si>
    <t>Ông Hoàng Văn Thiện</t>
  </si>
  <si>
    <t>Màu (HNK)</t>
  </si>
  <si>
    <t>Dự án: Đường dây và TBA 110kV Hữu Lũng 2</t>
  </si>
  <si>
    <t>Ông Lý Văn Lô</t>
  </si>
  <si>
    <t>N 830981</t>
  </si>
  <si>
    <t>diện tích trong sổ gộp chung thửa 09 với 14</t>
  </si>
  <si>
    <t>N 830929</t>
  </si>
  <si>
    <t>Ông Chu Văn Chưởng</t>
  </si>
  <si>
    <t>diện tích trong sổ gộp chung thửa 11 với 13</t>
  </si>
  <si>
    <t>Ông Hoàng Văn Chín</t>
  </si>
  <si>
    <t>THÔN TÂN HOA, XÃ HỮU LŨNG</t>
  </si>
  <si>
    <r>
      <t>Diện tích thu hồi (m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</si>
</sst>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37" x14ac:knownFonts="1">
    <font>
      <sz val="14"/>
      <color theme="1"/>
      <name val="Times New Roman"/>
      <family val="2"/>
      <charset val="163"/>
    </font>
    <font>
      <b/>
      <sz val="12"/>
      <name val="Times New Roman"/>
      <family val="1"/>
    </font>
    <font>
      <sz val="12"/>
      <name val=".VnTime"/>
      <family val="2"/>
    </font>
    <font>
      <b/>
      <i/>
      <sz val="12"/>
      <name val="Times New Roman"/>
      <family val="1"/>
    </font>
    <font>
      <sz val="12"/>
      <name val="Times New Roman"/>
      <family val="1"/>
    </font>
    <font>
      <sz val="12"/>
      <name val=".VnTime"/>
      <family val="2"/>
    </font>
    <font>
      <b/>
      <vertAlign val="superscript"/>
      <sz val="12"/>
      <name val="Times New Roman"/>
      <family val="1"/>
    </font>
    <font>
      <sz val="14"/>
      <name val=".VnTime"/>
      <family val="2"/>
    </font>
    <font>
      <sz val="14"/>
      <color indexed="8"/>
      <name val="Times New Roman"/>
      <family val="2"/>
      <charset val="163"/>
    </font>
    <font>
      <sz val="8"/>
      <name val="Times New Roman"/>
      <family val="2"/>
      <charset val="163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63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63"/>
    </font>
    <font>
      <b/>
      <i/>
      <sz val="14"/>
      <name val="Times New Roman"/>
      <family val="1"/>
    </font>
    <font>
      <sz val="14"/>
      <name val="Times New Roman"/>
      <family val="1"/>
      <charset val="163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4"/>
      <color theme="0"/>
      <name val="Times New Roman"/>
      <family val="1"/>
    </font>
    <font>
      <sz val="13"/>
      <color theme="0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i/>
      <sz val="12"/>
      <name val="Times New Roman"/>
      <family val="1"/>
    </font>
    <font>
      <b/>
      <sz val="11"/>
      <name val="Times New Roman"/>
      <family val="1"/>
    </font>
    <font>
      <b/>
      <sz val="13"/>
      <color theme="0"/>
      <name val="Times New Roman"/>
      <family val="1"/>
    </font>
    <font>
      <b/>
      <sz val="14"/>
      <color theme="0"/>
      <name val="Times New Roman"/>
      <family val="1"/>
    </font>
    <font>
      <sz val="12"/>
      <color indexed="8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8">
    <xf numFmtId="0" fontId="0" fillId="0" borderId="0"/>
    <xf numFmtId="164" fontId="8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13" fillId="0" borderId="0"/>
    <xf numFmtId="0" fontId="2" fillId="0" borderId="0"/>
    <xf numFmtId="0" fontId="15" fillId="0" borderId="0"/>
    <xf numFmtId="0" fontId="16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2" fillId="0" borderId="0"/>
    <xf numFmtId="164" fontId="21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166" fontId="4" fillId="2" borderId="4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7" fontId="20" fillId="2" borderId="0" xfId="1" applyNumberFormat="1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167" fontId="4" fillId="2" borderId="4" xfId="1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7" fontId="4" fillId="2" borderId="0" xfId="1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7" fontId="11" fillId="0" borderId="1" xfId="17" applyNumberFormat="1" applyFont="1" applyFill="1" applyBorder="1" applyAlignment="1">
      <alignment horizontal="center" vertical="center"/>
    </xf>
    <xf numFmtId="167" fontId="11" fillId="0" borderId="1" xfId="1" applyNumberFormat="1" applyFont="1" applyFill="1" applyBorder="1" applyAlignment="1">
      <alignment horizontal="center" vertical="center"/>
    </xf>
    <xf numFmtId="167" fontId="1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20" fillId="2" borderId="0" xfId="1" applyFont="1" applyFill="1" applyAlignment="1">
      <alignment horizontal="center" vertical="center"/>
    </xf>
    <xf numFmtId="167" fontId="10" fillId="2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167" fontId="10" fillId="0" borderId="1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0" fillId="2" borderId="1" xfId="0" applyFill="1" applyBorder="1" applyAlignment="1">
      <alignment wrapText="1"/>
    </xf>
    <xf numFmtId="0" fontId="25" fillId="2" borderId="1" xfId="0" applyFont="1" applyFill="1" applyBorder="1" applyAlignment="1">
      <alignment horizontal="center" vertical="center"/>
    </xf>
    <xf numFmtId="2" fontId="25" fillId="2" borderId="1" xfId="0" applyNumberFormat="1" applyFont="1" applyFill="1" applyBorder="1" applyAlignment="1">
      <alignment horizontal="center" vertical="center"/>
    </xf>
    <xf numFmtId="3" fontId="25" fillId="2" borderId="1" xfId="0" applyNumberFormat="1" applyFont="1" applyFill="1" applyBorder="1" applyAlignment="1">
      <alignment horizontal="center" vertical="center"/>
    </xf>
    <xf numFmtId="167" fontId="25" fillId="2" borderId="1" xfId="1" applyNumberFormat="1" applyFont="1" applyFill="1" applyBorder="1" applyAlignment="1">
      <alignment horizontal="center" vertical="center"/>
    </xf>
    <xf numFmtId="4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/>
    </xf>
    <xf numFmtId="3" fontId="24" fillId="2" borderId="1" xfId="6" applyNumberFormat="1" applyFont="1" applyFill="1" applyBorder="1" applyAlignment="1">
      <alignment horizontal="left" vertical="center"/>
    </xf>
    <xf numFmtId="3" fontId="25" fillId="2" borderId="1" xfId="0" applyNumberFormat="1" applyFont="1" applyFill="1" applyBorder="1" applyAlignment="1">
      <alignment horizontal="right" vertical="center" wrapText="1"/>
    </xf>
    <xf numFmtId="3" fontId="25" fillId="2" borderId="1" xfId="6" quotePrefix="1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7" fontId="10" fillId="2" borderId="0" xfId="17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3" fontId="1" fillId="2" borderId="1" xfId="4" applyNumberFormat="1" applyFont="1" applyFill="1" applyBorder="1" applyAlignment="1">
      <alignment horizontal="center" vertical="center" wrapText="1"/>
    </xf>
    <xf numFmtId="3" fontId="1" fillId="2" borderId="1" xfId="4" applyNumberFormat="1" applyFont="1" applyFill="1" applyBorder="1" applyAlignment="1">
      <alignment horizontal="center" vertical="center"/>
    </xf>
    <xf numFmtId="167" fontId="1" fillId="2" borderId="1" xfId="1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67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16" fontId="4" fillId="2" borderId="1" xfId="0" quotePrefix="1" applyNumberFormat="1" applyFont="1" applyFill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25" fillId="2" borderId="0" xfId="0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49" fontId="1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left" vertical="center" wrapText="1"/>
    </xf>
    <xf numFmtId="2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167" fontId="4" fillId="2" borderId="0" xfId="17" applyNumberFormat="1" applyFont="1" applyFill="1" applyAlignment="1">
      <alignment horizontal="left" vertical="center"/>
    </xf>
    <xf numFmtId="3" fontId="31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1" fillId="2" borderId="1" xfId="6" quotePrefix="1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2" borderId="1" xfId="6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4" fillId="2" borderId="1" xfId="0" quotePrefix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167" fontId="11" fillId="2" borderId="1" xfId="17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16" applyFont="1" applyBorder="1" applyAlignment="1">
      <alignment horizontal="center" vertical="center" wrapText="1"/>
    </xf>
    <xf numFmtId="0" fontId="11" fillId="0" borderId="6" xfId="16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167" fontId="28" fillId="2" borderId="0" xfId="1" applyNumberFormat="1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3" fontId="14" fillId="0" borderId="1" xfId="6" applyNumberFormat="1" applyFont="1" applyBorder="1" applyAlignment="1">
      <alignment horizontal="center" vertical="center" wrapText="1"/>
    </xf>
    <xf numFmtId="0" fontId="1" fillId="0" borderId="1" xfId="16" applyFont="1" applyBorder="1" applyAlignment="1">
      <alignment horizontal="center" vertical="center" wrapText="1"/>
    </xf>
    <xf numFmtId="166" fontId="1" fillId="0" borderId="1" xfId="6" applyNumberFormat="1" applyFont="1" applyBorder="1" applyAlignment="1">
      <alignment horizontal="center" vertical="center" wrapText="1"/>
    </xf>
    <xf numFmtId="167" fontId="1" fillId="0" borderId="1" xfId="1" applyNumberFormat="1" applyFont="1" applyBorder="1" applyAlignment="1">
      <alignment horizontal="center" vertical="center" wrapText="1"/>
    </xf>
    <xf numFmtId="165" fontId="14" fillId="0" borderId="1" xfId="6" applyNumberFormat="1" applyFont="1" applyBorder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 wrapText="1"/>
    </xf>
    <xf numFmtId="0" fontId="32" fillId="0" borderId="8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167" fontId="26" fillId="2" borderId="0" xfId="17" applyNumberFormat="1" applyFont="1" applyFill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67" fontId="27" fillId="2" borderId="0" xfId="17" applyNumberFormat="1" applyFont="1" applyFill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 wrapText="1"/>
    </xf>
    <xf numFmtId="164" fontId="17" fillId="2" borderId="0" xfId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167" fontId="17" fillId="2" borderId="0" xfId="1" applyNumberFormat="1" applyFont="1" applyFill="1" applyAlignment="1">
      <alignment horizontal="center" vertical="center"/>
    </xf>
    <xf numFmtId="167" fontId="18" fillId="2" borderId="4" xfId="1" applyNumberFormat="1" applyFont="1" applyFill="1" applyBorder="1" applyAlignment="1">
      <alignment vertical="center"/>
    </xf>
    <xf numFmtId="167" fontId="18" fillId="2" borderId="0" xfId="1" applyNumberFormat="1" applyFont="1" applyFill="1" applyBorder="1" applyAlignment="1">
      <alignment vertical="center"/>
    </xf>
    <xf numFmtId="0" fontId="1" fillId="0" borderId="2" xfId="5" applyFont="1" applyBorder="1" applyAlignment="1">
      <alignment horizontal="center" vertical="center" wrapText="1"/>
    </xf>
    <xf numFmtId="0" fontId="1" fillId="2" borderId="8" xfId="16" applyFont="1" applyFill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1" fillId="0" borderId="9" xfId="6" applyFont="1" applyBorder="1" applyAlignment="1">
      <alignment horizontal="center" vertical="center" wrapText="1"/>
    </xf>
    <xf numFmtId="0" fontId="1" fillId="0" borderId="10" xfId="6" applyFont="1" applyBorder="1" applyAlignment="1">
      <alignment horizontal="center" vertical="center" wrapText="1"/>
    </xf>
    <xf numFmtId="0" fontId="1" fillId="0" borderId="5" xfId="6" applyFont="1" applyBorder="1" applyAlignment="1">
      <alignment horizontal="center" vertical="center" wrapText="1"/>
    </xf>
    <xf numFmtId="0" fontId="1" fillId="0" borderId="2" xfId="6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3" fontId="1" fillId="0" borderId="2" xfId="6" applyNumberFormat="1" applyFont="1" applyBorder="1" applyAlignment="1">
      <alignment horizontal="center" vertical="center" wrapText="1"/>
    </xf>
    <xf numFmtId="3" fontId="1" fillId="0" borderId="1" xfId="6" applyNumberFormat="1" applyFont="1" applyBorder="1" applyAlignment="1">
      <alignment horizontal="center" vertical="center" wrapText="1"/>
    </xf>
    <xf numFmtId="167" fontId="1" fillId="0" borderId="9" xfId="1" applyNumberFormat="1" applyFont="1" applyFill="1" applyBorder="1" applyAlignment="1">
      <alignment horizontal="center" vertical="center" wrapText="1"/>
    </xf>
    <xf numFmtId="167" fontId="1" fillId="0" borderId="5" xfId="1" applyNumberFormat="1" applyFont="1" applyFill="1" applyBorder="1" applyAlignment="1">
      <alignment horizontal="center" vertical="center" wrapText="1"/>
    </xf>
    <xf numFmtId="167" fontId="1" fillId="0" borderId="10" xfId="1" applyNumberFormat="1" applyFont="1" applyFill="1" applyBorder="1" applyAlignment="1">
      <alignment horizontal="center" vertical="center" wrapText="1"/>
    </xf>
    <xf numFmtId="167" fontId="17" fillId="2" borderId="1" xfId="0" applyNumberFormat="1" applyFont="1" applyFill="1" applyBorder="1" applyAlignment="1">
      <alignment horizontal="center" vertical="center"/>
    </xf>
    <xf numFmtId="0" fontId="1" fillId="0" borderId="11" xfId="5" applyFont="1" applyBorder="1" applyAlignment="1">
      <alignment horizontal="center" vertical="center" wrapText="1"/>
    </xf>
    <xf numFmtId="0" fontId="1" fillId="2" borderId="6" xfId="16" applyFont="1" applyFill="1" applyBorder="1" applyAlignment="1">
      <alignment horizontal="center" vertical="center" wrapText="1"/>
    </xf>
    <xf numFmtId="0" fontId="1" fillId="0" borderId="2" xfId="6" applyFont="1" applyBorder="1" applyAlignment="1">
      <alignment horizontal="center" vertical="center" wrapText="1"/>
    </xf>
    <xf numFmtId="164" fontId="1" fillId="0" borderId="2" xfId="1" applyFont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1" fillId="0" borderId="11" xfId="6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3" fontId="1" fillId="0" borderId="3" xfId="6" applyNumberFormat="1" applyFont="1" applyBorder="1" applyAlignment="1">
      <alignment horizontal="center" vertical="center" wrapText="1"/>
    </xf>
    <xf numFmtId="167" fontId="1" fillId="0" borderId="2" xfId="1" applyNumberFormat="1" applyFont="1" applyBorder="1" applyAlignment="1">
      <alignment horizontal="center" vertical="center" wrapText="1"/>
    </xf>
    <xf numFmtId="167" fontId="1" fillId="0" borderId="2" xfId="1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7" fillId="2" borderId="2" xfId="3" applyFont="1" applyFill="1" applyBorder="1" applyAlignment="1">
      <alignment horizontal="center" vertical="center" wrapText="1"/>
    </xf>
    <xf numFmtId="164" fontId="14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7" fontId="17" fillId="2" borderId="2" xfId="1" applyNumberFormat="1" applyFont="1" applyFill="1" applyBorder="1" applyAlignment="1">
      <alignment horizontal="center" vertical="center" wrapText="1"/>
    </xf>
    <xf numFmtId="167" fontId="14" fillId="2" borderId="2" xfId="1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3" fontId="17" fillId="2" borderId="8" xfId="0" applyNumberFormat="1" applyFont="1" applyFill="1" applyBorder="1" applyAlignment="1">
      <alignment horizontal="center" vertical="center"/>
    </xf>
    <xf numFmtId="164" fontId="17" fillId="2" borderId="1" xfId="1" applyFont="1" applyFill="1" applyBorder="1" applyAlignment="1">
      <alignment horizontal="center" vertical="center"/>
    </xf>
    <xf numFmtId="0" fontId="17" fillId="2" borderId="8" xfId="2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17" fillId="2" borderId="8" xfId="0" applyNumberFormat="1" applyFont="1" applyFill="1" applyBorder="1" applyAlignment="1">
      <alignment horizontal="center" vertical="center" wrapText="1"/>
    </xf>
    <xf numFmtId="4" fontId="17" fillId="2" borderId="8" xfId="0" applyNumberFormat="1" applyFont="1" applyFill="1" applyBorder="1" applyAlignment="1">
      <alignment horizontal="center" vertical="center"/>
    </xf>
    <xf numFmtId="167" fontId="17" fillId="2" borderId="8" xfId="1" applyNumberFormat="1" applyFont="1" applyFill="1" applyBorder="1" applyAlignment="1">
      <alignment horizontal="center" vertical="center"/>
    </xf>
    <xf numFmtId="167" fontId="17" fillId="2" borderId="2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164" fontId="14" fillId="2" borderId="1" xfId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4" fontId="4" fillId="2" borderId="11" xfId="0" applyNumberFormat="1" applyFont="1" applyFill="1" applyBorder="1" applyAlignment="1">
      <alignment horizontal="center" vertical="center"/>
    </xf>
    <xf numFmtId="167" fontId="4" fillId="2" borderId="11" xfId="1" applyNumberFormat="1" applyFont="1" applyFill="1" applyBorder="1" applyAlignment="1">
      <alignment horizontal="center" vertical="center"/>
    </xf>
    <xf numFmtId="167" fontId="25" fillId="2" borderId="0" xfId="1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1" fontId="35" fillId="0" borderId="2" xfId="0" applyNumberFormat="1" applyFont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1" fontId="35" fillId="0" borderId="11" xfId="0" applyNumberFormat="1" applyFont="1" applyBorder="1" applyAlignment="1">
      <alignment horizontal="center" vertical="center"/>
    </xf>
    <xf numFmtId="167" fontId="4" fillId="2" borderId="2" xfId="1" applyNumberFormat="1" applyFont="1" applyFill="1" applyBorder="1" applyAlignment="1">
      <alignment horizontal="center" vertical="center"/>
    </xf>
    <xf numFmtId="167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25" fillId="2" borderId="0" xfId="1" applyNumberFormat="1" applyFont="1" applyFill="1" applyBorder="1"/>
    <xf numFmtId="0" fontId="17" fillId="2" borderId="1" xfId="0" applyFont="1" applyFill="1" applyBorder="1" applyAlignment="1">
      <alignment horizontal="left" vertical="center" wrapText="1"/>
    </xf>
    <xf numFmtId="1" fontId="35" fillId="0" borderId="3" xfId="0" applyNumberFormat="1" applyFont="1" applyBorder="1" applyAlignment="1">
      <alignment horizontal="center" vertical="center"/>
    </xf>
    <xf numFmtId="167" fontId="4" fillId="2" borderId="3" xfId="1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/>
    </xf>
    <xf numFmtId="167" fontId="4" fillId="2" borderId="1" xfId="1" applyNumberFormat="1" applyFont="1" applyFill="1" applyBorder="1" applyAlignment="1">
      <alignment vertical="center" wrapText="1"/>
    </xf>
    <xf numFmtId="167" fontId="4" fillId="2" borderId="1" xfId="1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16" fontId="17" fillId="2" borderId="1" xfId="0" quotePrefix="1" applyNumberFormat="1" applyFont="1" applyFill="1" applyBorder="1" applyAlignment="1">
      <alignment horizontal="center" vertical="center"/>
    </xf>
    <xf numFmtId="164" fontId="4" fillId="2" borderId="2" xfId="1" applyFont="1" applyFill="1" applyBorder="1" applyAlignment="1">
      <alignment horizontal="center" vertical="center" wrapText="1"/>
    </xf>
    <xf numFmtId="164" fontId="4" fillId="2" borderId="3" xfId="1" applyFont="1" applyFill="1" applyBorder="1" applyAlignment="1">
      <alignment horizontal="center" vertical="center" wrapText="1"/>
    </xf>
    <xf numFmtId="164" fontId="14" fillId="2" borderId="0" xfId="1" applyFont="1" applyFill="1" applyAlignment="1">
      <alignment vertical="center"/>
    </xf>
    <xf numFmtId="164" fontId="36" fillId="2" borderId="0" xfId="1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 wrapText="1"/>
    </xf>
  </cellXfs>
  <cellStyles count="18">
    <cellStyle name="Comma" xfId="1" builtinId="3"/>
    <cellStyle name="Comma 2" xfId="9" xr:uid="{00000000-0005-0000-0000-000001000000}"/>
    <cellStyle name="Comma 2 2" xfId="10" xr:uid="{00000000-0005-0000-0000-000002000000}"/>
    <cellStyle name="Comma 3" xfId="12" xr:uid="{00000000-0005-0000-0000-000003000000}"/>
    <cellStyle name="Dấu phẩy 2" xfId="17" xr:uid="{00000000-0005-0000-0000-000004000000}"/>
    <cellStyle name="Normal" xfId="0" builtinId="0"/>
    <cellStyle name="Normal 2" xfId="2" xr:uid="{00000000-0005-0000-0000-000006000000}"/>
    <cellStyle name="Normal 2 2" xfId="15" xr:uid="{00000000-0005-0000-0000-000007000000}"/>
    <cellStyle name="Normal 3" xfId="5" xr:uid="{00000000-0005-0000-0000-000008000000}"/>
    <cellStyle name="Normal 4" xfId="8" xr:uid="{00000000-0005-0000-0000-000009000000}"/>
    <cellStyle name="Normal 5" xfId="7" xr:uid="{00000000-0005-0000-0000-00000A000000}"/>
    <cellStyle name="Normal_Sheet1" xfId="3" xr:uid="{00000000-0005-0000-0000-00000B000000}"/>
    <cellStyle name="Normal_Sheet1 2_D" xfId="4" xr:uid="{00000000-0005-0000-0000-00000C000000}"/>
    <cellStyle name="Normal_Sheet1 2_D 2" xfId="6" xr:uid="{00000000-0005-0000-0000-00000D000000}"/>
    <cellStyle name="Normal_Sheet1_1" xfId="16" xr:uid="{00000000-0005-0000-0000-00000E000000}"/>
    <cellStyle name="Percent 2" xfId="11" xr:uid="{00000000-0005-0000-0000-00000F000000}"/>
    <cellStyle name="Percent 2 2" xfId="14" xr:uid="{00000000-0005-0000-0000-000010000000}"/>
    <cellStyle name="Percent 3" xfId="13" xr:uid="{00000000-0005-0000-0000-000011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17/10/relationships/person" Target="persons/person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zoomScaleNormal="100" zoomScaleSheetLayoutView="85" zoomScalePageLayoutView="55" workbookViewId="0">
      <selection activeCell="C16" sqref="C16"/>
    </sheetView>
  </sheetViews>
  <sheetFormatPr defaultColWidth="8.81640625" defaultRowHeight="18" x14ac:dyDescent="0.35"/>
  <cols>
    <col min="1" max="1" width="4.7265625" style="22" bestFit="1" customWidth="1"/>
    <col min="2" max="2" width="25.90625" style="37" customWidth="1"/>
    <col min="3" max="3" width="15.36328125" style="22" customWidth="1"/>
    <col min="4" max="4" width="12.6328125" style="25" customWidth="1"/>
    <col min="5" max="5" width="13" style="25" customWidth="1"/>
    <col min="6" max="6" width="12.453125" style="25" customWidth="1"/>
    <col min="7" max="7" width="15.1796875" style="25" bestFit="1" customWidth="1"/>
    <col min="8" max="8" width="10.453125" style="54" customWidth="1"/>
    <col min="9" max="9" width="31.26953125" style="22" customWidth="1"/>
    <col min="10" max="16384" width="8.81640625" style="22"/>
  </cols>
  <sheetData>
    <row r="1" spans="1:9" x14ac:dyDescent="0.35">
      <c r="A1" s="101" t="s">
        <v>59</v>
      </c>
      <c r="B1" s="101"/>
      <c r="C1" s="101"/>
      <c r="D1" s="101"/>
      <c r="E1" s="101"/>
      <c r="F1" s="101"/>
      <c r="G1" s="101"/>
      <c r="H1" s="101"/>
    </row>
    <row r="2" spans="1:9" ht="10.8" customHeight="1" x14ac:dyDescent="0.35">
      <c r="A2" s="102" t="s">
        <v>101</v>
      </c>
      <c r="B2" s="102"/>
      <c r="C2" s="102"/>
      <c r="D2" s="102"/>
      <c r="E2" s="102"/>
      <c r="F2" s="102"/>
      <c r="G2" s="102"/>
      <c r="H2" s="102"/>
    </row>
    <row r="3" spans="1:9" ht="10.8" customHeight="1" x14ac:dyDescent="0.35">
      <c r="A3" s="103"/>
      <c r="B3" s="103"/>
      <c r="C3" s="103"/>
      <c r="D3" s="103"/>
      <c r="E3" s="103"/>
      <c r="F3" s="103"/>
      <c r="G3" s="103"/>
      <c r="H3" s="103"/>
    </row>
    <row r="4" spans="1:9" x14ac:dyDescent="0.35">
      <c r="A4" s="108" t="s">
        <v>1</v>
      </c>
      <c r="B4" s="109" t="s">
        <v>40</v>
      </c>
      <c r="C4" s="111" t="s">
        <v>46</v>
      </c>
      <c r="D4" s="104" t="s">
        <v>26</v>
      </c>
      <c r="E4" s="105"/>
      <c r="F4" s="106"/>
      <c r="G4" s="24" t="s">
        <v>3</v>
      </c>
      <c r="H4" s="107" t="s">
        <v>19</v>
      </c>
    </row>
    <row r="5" spans="1:9" ht="69.599999999999994" x14ac:dyDescent="0.35">
      <c r="A5" s="108"/>
      <c r="B5" s="110"/>
      <c r="C5" s="111"/>
      <c r="D5" s="23" t="s">
        <v>2</v>
      </c>
      <c r="E5" s="23" t="s">
        <v>27</v>
      </c>
      <c r="F5" s="23" t="s">
        <v>110</v>
      </c>
      <c r="G5" s="23" t="s">
        <v>28</v>
      </c>
      <c r="H5" s="107"/>
    </row>
    <row r="6" spans="1:9" s="26" customFormat="1" x14ac:dyDescent="0.35">
      <c r="A6" s="33"/>
      <c r="B6" s="98"/>
      <c r="C6" s="27"/>
      <c r="D6" s="27"/>
      <c r="E6" s="27"/>
      <c r="F6" s="27"/>
      <c r="G6" s="27"/>
      <c r="H6" s="53"/>
    </row>
    <row r="7" spans="1:9" s="51" customFormat="1" ht="17.399999999999999" x14ac:dyDescent="0.35">
      <c r="A7" s="52" t="s">
        <v>4</v>
      </c>
      <c r="B7" s="126" t="s">
        <v>131</v>
      </c>
      <c r="C7" s="28">
        <f>SUM(C8:C15)</f>
        <v>367333000</v>
      </c>
      <c r="D7" s="68">
        <f>SUM(D8:D15)</f>
        <v>68321600</v>
      </c>
      <c r="E7" s="68">
        <f>SUM(E8:E15)</f>
        <v>24990250</v>
      </c>
      <c r="F7" s="68">
        <f>SUM(F9)</f>
        <v>734400</v>
      </c>
      <c r="G7" s="68">
        <f>SUM(G8:G15)</f>
        <v>273286400</v>
      </c>
      <c r="H7" s="69"/>
    </row>
    <row r="8" spans="1:9" s="26" customFormat="1" x14ac:dyDescent="0.35">
      <c r="A8" s="33">
        <v>1</v>
      </c>
      <c r="B8" s="41" t="s">
        <v>66</v>
      </c>
      <c r="C8" s="28">
        <f>(ROUND(SUM(D8:G8),-3))</f>
        <v>131806000</v>
      </c>
      <c r="D8" s="36">
        <f>VLOOKUP(B8,Đất!$B$9:$P$29,13,0)</f>
        <v>22660200</v>
      </c>
      <c r="E8" s="36">
        <f>VLOOKUP(B8,Cây!$B$10:$M$30,8,0)</f>
        <v>18504750</v>
      </c>
      <c r="F8" s="36"/>
      <c r="G8" s="32">
        <f>VLOOKUP(B8,Đất!$B$9:$P$30,15,0)</f>
        <v>90640800</v>
      </c>
      <c r="H8" s="41"/>
      <c r="I8" s="72"/>
    </row>
    <row r="9" spans="1:9" s="26" customFormat="1" x14ac:dyDescent="0.35">
      <c r="A9" s="33">
        <v>2</v>
      </c>
      <c r="B9" s="41" t="s">
        <v>67</v>
      </c>
      <c r="C9" s="28">
        <f>(ROUND(SUM(D9:G9),-3))</f>
        <v>67163000</v>
      </c>
      <c r="D9" s="36">
        <f>VLOOKUP(B9,Đất!$B$9:$P$29,13,0)</f>
        <v>13285800</v>
      </c>
      <c r="E9" s="36">
        <v>0</v>
      </c>
      <c r="F9" s="36">
        <v>734400</v>
      </c>
      <c r="G9" s="32">
        <f>VLOOKUP(B9,Đất!$B$9:$P$30,15,0)</f>
        <v>53143200</v>
      </c>
      <c r="H9" s="41"/>
      <c r="I9" s="72"/>
    </row>
    <row r="10" spans="1:9" s="26" customFormat="1" x14ac:dyDescent="0.35">
      <c r="A10" s="33">
        <v>3</v>
      </c>
      <c r="B10" s="41" t="s">
        <v>68</v>
      </c>
      <c r="C10" s="28">
        <f t="shared" ref="C10:C14" si="0">(ROUND(SUM(D10:G10),-3))</f>
        <v>132000</v>
      </c>
      <c r="D10" s="36">
        <f>VLOOKUP(B10,Đất!$B$9:$P$29,13,0)</f>
        <v>26400</v>
      </c>
      <c r="E10" s="36">
        <v>0</v>
      </c>
      <c r="F10" s="36"/>
      <c r="G10" s="32">
        <f>VLOOKUP(B10,Đất!$B$9:$P$30,15,0)</f>
        <v>105600</v>
      </c>
      <c r="H10" s="41"/>
      <c r="I10" s="72"/>
    </row>
    <row r="11" spans="1:9" s="26" customFormat="1" x14ac:dyDescent="0.35">
      <c r="A11" s="33">
        <v>4</v>
      </c>
      <c r="B11" s="41" t="s">
        <v>69</v>
      </c>
      <c r="C11" s="28">
        <f t="shared" si="0"/>
        <v>2212000</v>
      </c>
      <c r="D11" s="36">
        <f>VLOOKUP(B11,Đất!$B$9:$P$29,13,0)</f>
        <v>431600.00000000006</v>
      </c>
      <c r="E11" s="36">
        <f>VLOOKUP(B11,Cây!$B$10:$M$30,8,0)</f>
        <v>53950.000000000007</v>
      </c>
      <c r="F11" s="36"/>
      <c r="G11" s="32">
        <f>VLOOKUP(B11,Đất!$B$9:$P$30,15,0)</f>
        <v>1726400.0000000002</v>
      </c>
      <c r="H11" s="41"/>
      <c r="I11" s="72"/>
    </row>
    <row r="12" spans="1:9" s="26" customFormat="1" x14ac:dyDescent="0.35">
      <c r="A12" s="33">
        <v>5</v>
      </c>
      <c r="B12" s="41" t="s">
        <v>70</v>
      </c>
      <c r="C12" s="28">
        <f t="shared" si="0"/>
        <v>59961000</v>
      </c>
      <c r="D12" s="36">
        <f>VLOOKUP(B12,Đất!$B$9:$P$29,13,0)</f>
        <v>11992200</v>
      </c>
      <c r="E12" s="36">
        <v>0</v>
      </c>
      <c r="F12" s="36"/>
      <c r="G12" s="32">
        <f>VLOOKUP(B12,Đất!$B$9:$P$30,15,0)</f>
        <v>47968800</v>
      </c>
      <c r="H12" s="41"/>
      <c r="I12" s="72"/>
    </row>
    <row r="13" spans="1:9" s="26" customFormat="1" x14ac:dyDescent="0.35">
      <c r="A13" s="33">
        <v>6</v>
      </c>
      <c r="B13" s="41" t="s">
        <v>71</v>
      </c>
      <c r="C13" s="28">
        <f t="shared" si="0"/>
        <v>16434000</v>
      </c>
      <c r="D13" s="36">
        <f>VLOOKUP(B13,Đất!$B$9:$P$29,13,0)</f>
        <v>3286800</v>
      </c>
      <c r="E13" s="36">
        <v>0</v>
      </c>
      <c r="F13" s="36"/>
      <c r="G13" s="32">
        <f>VLOOKUP(B13,Đất!$B$9:$P$30,15,0)</f>
        <v>13147200</v>
      </c>
      <c r="H13" s="41"/>
      <c r="I13" s="72"/>
    </row>
    <row r="14" spans="1:9" s="26" customFormat="1" x14ac:dyDescent="0.35">
      <c r="A14" s="33">
        <v>7</v>
      </c>
      <c r="B14" s="41" t="s">
        <v>72</v>
      </c>
      <c r="C14" s="28">
        <f t="shared" si="0"/>
        <v>23441000</v>
      </c>
      <c r="D14" s="36">
        <f>VLOOKUP(B14,Đất!$B$9:$P$29,13,0)</f>
        <v>3696000</v>
      </c>
      <c r="E14" s="36">
        <f>VLOOKUP(B14,Cây!$B$10:$M$30,8,0)</f>
        <v>4960800</v>
      </c>
      <c r="F14" s="36"/>
      <c r="G14" s="32">
        <f>VLOOKUP(B14,Đất!$B$9:$P$30,15,0)</f>
        <v>14784000</v>
      </c>
      <c r="H14" s="41"/>
      <c r="I14" s="73"/>
    </row>
    <row r="15" spans="1:9" s="26" customFormat="1" x14ac:dyDescent="0.35">
      <c r="A15" s="33">
        <v>8</v>
      </c>
      <c r="B15" s="41" t="s">
        <v>73</v>
      </c>
      <c r="C15" s="28">
        <f>(ROUND(SUM(D15:G15),-3))</f>
        <v>66184000</v>
      </c>
      <c r="D15" s="36">
        <f>VLOOKUP(B15,Đất!$B$9:$P$29,13,0)</f>
        <v>12942600</v>
      </c>
      <c r="E15" s="36">
        <f>VLOOKUP(B15,Cây!$B$10:$M$30,8,0)</f>
        <v>1470750</v>
      </c>
      <c r="F15" s="36"/>
      <c r="G15" s="32">
        <f>VLOOKUP(B15,Đất!$B$9:$P$30,15,0)</f>
        <v>51770400</v>
      </c>
      <c r="H15" s="41"/>
      <c r="I15" s="72"/>
    </row>
    <row r="16" spans="1:9" x14ac:dyDescent="0.35">
      <c r="B16" s="127"/>
      <c r="C16" s="128"/>
      <c r="D16" s="129"/>
      <c r="E16" s="129"/>
      <c r="F16" s="129"/>
      <c r="G16" s="129"/>
      <c r="H16" s="130"/>
    </row>
    <row r="17" spans="2:9" ht="33.6" customHeight="1" x14ac:dyDescent="0.35">
      <c r="B17" s="131" t="s">
        <v>61</v>
      </c>
      <c r="C17" s="132"/>
      <c r="D17" s="132"/>
      <c r="E17" s="133"/>
      <c r="F17" s="133"/>
      <c r="G17" s="134" t="s">
        <v>62</v>
      </c>
      <c r="H17" s="134"/>
    </row>
    <row r="18" spans="2:9" x14ac:dyDescent="0.35">
      <c r="B18" s="135"/>
      <c r="C18" s="136"/>
      <c r="D18" s="133"/>
      <c r="E18" s="133"/>
      <c r="F18" s="133"/>
      <c r="G18" s="133"/>
      <c r="H18" s="137"/>
    </row>
    <row r="19" spans="2:9" x14ac:dyDescent="0.35">
      <c r="B19" s="135"/>
      <c r="C19" s="136"/>
      <c r="D19" s="133"/>
      <c r="E19" s="133"/>
      <c r="F19" s="133"/>
      <c r="G19" s="133"/>
      <c r="H19" s="137"/>
      <c r="I19" s="74"/>
    </row>
    <row r="20" spans="2:9" x14ac:dyDescent="0.35">
      <c r="B20" s="135"/>
      <c r="C20" s="136"/>
      <c r="D20" s="133"/>
      <c r="E20" s="133"/>
      <c r="F20" s="133"/>
      <c r="G20" s="133"/>
      <c r="H20" s="137"/>
    </row>
    <row r="21" spans="2:9" x14ac:dyDescent="0.35">
      <c r="B21" s="135"/>
      <c r="C21" s="136"/>
      <c r="D21" s="133"/>
      <c r="E21" s="133"/>
      <c r="F21" s="133"/>
      <c r="G21" s="133"/>
      <c r="H21" s="137"/>
    </row>
    <row r="22" spans="2:9" ht="34.799999999999997" customHeight="1" x14ac:dyDescent="0.35">
      <c r="B22" s="138" t="s">
        <v>63</v>
      </c>
      <c r="C22" s="139"/>
      <c r="D22" s="139"/>
      <c r="E22" s="129"/>
      <c r="F22" s="129"/>
      <c r="G22" s="140" t="s">
        <v>64</v>
      </c>
      <c r="H22" s="140"/>
    </row>
    <row r="23" spans="2:9" x14ac:dyDescent="0.35">
      <c r="B23" s="127"/>
      <c r="C23" s="128"/>
      <c r="D23" s="129"/>
      <c r="E23" s="129"/>
      <c r="F23" s="129"/>
      <c r="G23" s="129"/>
      <c r="H23" s="130"/>
    </row>
    <row r="24" spans="2:9" x14ac:dyDescent="0.35">
      <c r="B24" s="127"/>
      <c r="C24" s="128"/>
      <c r="D24" s="129"/>
      <c r="E24" s="129"/>
      <c r="F24" s="129"/>
      <c r="G24" s="129"/>
      <c r="H24" s="130"/>
    </row>
  </sheetData>
  <autoFilter ref="A6:G15" xr:uid="{00000000-0001-0000-0000-000000000000}"/>
  <mergeCells count="11">
    <mergeCell ref="A1:H1"/>
    <mergeCell ref="H4:H5"/>
    <mergeCell ref="A4:A5"/>
    <mergeCell ref="B4:B5"/>
    <mergeCell ref="C4:C5"/>
    <mergeCell ref="C17:D17"/>
    <mergeCell ref="C22:D22"/>
    <mergeCell ref="G17:H17"/>
    <mergeCell ref="G22:H22"/>
    <mergeCell ref="A2:H3"/>
    <mergeCell ref="D4:F4"/>
  </mergeCells>
  <conditionalFormatting sqref="B9">
    <cfRule type="duplicateValues" dxfId="23" priority="106"/>
    <cfRule type="duplicateValues" dxfId="22" priority="107"/>
  </conditionalFormatting>
  <conditionalFormatting sqref="B17">
    <cfRule type="duplicateValues" dxfId="21" priority="108"/>
    <cfRule type="duplicateValues" dxfId="20" priority="109"/>
  </conditionalFormatting>
  <conditionalFormatting sqref="J1:J1048576 B7 B4:B5 B10:B16 B18:B1048576">
    <cfRule type="duplicateValues" dxfId="19" priority="105"/>
  </conditionalFormatting>
  <conditionalFormatting sqref="B7 B4:B5 B10:B16 B18:B1048576">
    <cfRule type="duplicateValues" dxfId="18" priority="111"/>
  </conditionalFormatting>
  <pageMargins left="0.66929133858267698" right="0.47244094488188998" top="0.39370078740157499" bottom="0.393700787401574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9"/>
  <sheetViews>
    <sheetView tabSelected="1" topLeftCell="A19" zoomScale="90" zoomScaleNormal="90" zoomScaleSheetLayoutView="98" workbookViewId="0">
      <selection activeCell="G30" sqref="G30"/>
    </sheetView>
  </sheetViews>
  <sheetFormatPr defaultColWidth="8.90625" defaultRowHeight="18" x14ac:dyDescent="0.35"/>
  <cols>
    <col min="1" max="1" width="3.6328125" style="17" customWidth="1"/>
    <col min="2" max="2" width="15.6328125" style="38" customWidth="1"/>
    <col min="3" max="4" width="6" style="14" customWidth="1"/>
    <col min="5" max="5" width="8.81640625" style="31" customWidth="1"/>
    <col min="6" max="7" width="6.6328125" style="14" customWidth="1"/>
    <col min="8" max="8" width="6.08984375" style="14" customWidth="1"/>
    <col min="9" max="9" width="6.6328125" style="14" customWidth="1"/>
    <col min="10" max="10" width="5.453125" style="14" customWidth="1"/>
    <col min="11" max="11" width="8" style="142" customWidth="1"/>
    <col min="12" max="12" width="8" style="16" customWidth="1"/>
    <col min="13" max="13" width="11.6328125" style="14" customWidth="1"/>
    <col min="14" max="14" width="12.1796875" style="15" bestFit="1" customWidth="1"/>
    <col min="15" max="15" width="6" style="15" customWidth="1"/>
    <col min="16" max="16" width="11.26953125" style="15" bestFit="1" customWidth="1"/>
    <col min="17" max="17" width="9.36328125" style="15" hidden="1" customWidth="1"/>
    <col min="18" max="18" width="8.7265625" style="15" hidden="1" customWidth="1"/>
    <col min="19" max="19" width="18.36328125" style="15" hidden="1" customWidth="1"/>
    <col min="20" max="20" width="9.453125" style="15" hidden="1" customWidth="1"/>
    <col min="21" max="21" width="8" style="15" hidden="1" customWidth="1"/>
    <col min="22" max="22" width="13.1796875" style="14" hidden="1" customWidth="1"/>
    <col min="23" max="23" width="8.90625" style="14"/>
    <col min="24" max="24" width="11.08984375" style="14" bestFit="1" customWidth="1"/>
    <col min="25" max="16384" width="8.90625" style="14"/>
  </cols>
  <sheetData>
    <row r="1" spans="1:24" x14ac:dyDescent="0.35">
      <c r="A1" s="225" t="s">
        <v>108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4"/>
      <c r="R1" s="224"/>
      <c r="S1" s="224"/>
      <c r="T1" s="224"/>
      <c r="U1" s="224"/>
      <c r="V1" s="224"/>
      <c r="W1" s="143"/>
      <c r="X1" s="143"/>
    </row>
    <row r="2" spans="1:24" x14ac:dyDescent="0.35">
      <c r="A2" s="226" t="s">
        <v>123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148"/>
      <c r="R2" s="148"/>
      <c r="S2" s="148"/>
      <c r="T2" s="148"/>
      <c r="U2" s="148"/>
      <c r="V2" s="148"/>
      <c r="W2" s="143"/>
      <c r="X2" s="143"/>
    </row>
    <row r="3" spans="1:24" x14ac:dyDescent="0.35">
      <c r="A3" s="144"/>
      <c r="B3" s="145"/>
      <c r="C3" s="143"/>
      <c r="D3" s="143"/>
      <c r="E3" s="146"/>
      <c r="F3" s="143"/>
      <c r="G3" s="143"/>
      <c r="H3" s="143"/>
      <c r="I3" s="143"/>
      <c r="J3" s="143"/>
      <c r="K3" s="20"/>
      <c r="L3" s="147"/>
      <c r="M3" s="148"/>
      <c r="N3" s="149"/>
      <c r="O3" s="150" t="s">
        <v>0</v>
      </c>
      <c r="P3" s="150"/>
      <c r="Q3" s="151"/>
      <c r="R3" s="151"/>
      <c r="S3" s="151"/>
      <c r="T3" s="151"/>
      <c r="U3" s="151"/>
      <c r="V3" s="143"/>
      <c r="W3" s="143"/>
      <c r="X3" s="143"/>
    </row>
    <row r="4" spans="1:24" ht="60" customHeight="1" x14ac:dyDescent="0.35">
      <c r="A4" s="152" t="s">
        <v>5</v>
      </c>
      <c r="B4" s="153" t="s">
        <v>29</v>
      </c>
      <c r="C4" s="154" t="s">
        <v>6</v>
      </c>
      <c r="D4" s="154"/>
      <c r="E4" s="154"/>
      <c r="F4" s="154"/>
      <c r="G4" s="155" t="s">
        <v>74</v>
      </c>
      <c r="H4" s="156"/>
      <c r="I4" s="156"/>
      <c r="J4" s="157"/>
      <c r="K4" s="158" t="s">
        <v>7</v>
      </c>
      <c r="L4" s="159" t="s">
        <v>30</v>
      </c>
      <c r="M4" s="160" t="s">
        <v>107</v>
      </c>
      <c r="N4" s="161" t="s">
        <v>2</v>
      </c>
      <c r="O4" s="162" t="s">
        <v>28</v>
      </c>
      <c r="P4" s="163"/>
      <c r="Q4" s="162" t="s">
        <v>77</v>
      </c>
      <c r="R4" s="164"/>
      <c r="S4" s="164"/>
      <c r="T4" s="164"/>
      <c r="U4" s="163"/>
      <c r="V4" s="165"/>
      <c r="W4" s="143"/>
      <c r="X4" s="143"/>
    </row>
    <row r="5" spans="1:24" ht="62.4" x14ac:dyDescent="0.35">
      <c r="A5" s="166"/>
      <c r="B5" s="167"/>
      <c r="C5" s="168" t="s">
        <v>8</v>
      </c>
      <c r="D5" s="168" t="s">
        <v>9</v>
      </c>
      <c r="E5" s="169" t="s">
        <v>132</v>
      </c>
      <c r="F5" s="168" t="s">
        <v>10</v>
      </c>
      <c r="G5" s="170" t="s">
        <v>75</v>
      </c>
      <c r="H5" s="170" t="s">
        <v>9</v>
      </c>
      <c r="I5" s="170" t="s">
        <v>14</v>
      </c>
      <c r="J5" s="170" t="s">
        <v>76</v>
      </c>
      <c r="K5" s="171"/>
      <c r="L5" s="172"/>
      <c r="M5" s="173"/>
      <c r="N5" s="174" t="s">
        <v>57</v>
      </c>
      <c r="O5" s="175" t="s">
        <v>11</v>
      </c>
      <c r="P5" s="175" t="s">
        <v>57</v>
      </c>
      <c r="Q5" s="175" t="s">
        <v>111</v>
      </c>
      <c r="R5" s="175" t="s">
        <v>78</v>
      </c>
      <c r="S5" s="175" t="s">
        <v>79</v>
      </c>
      <c r="T5" s="175" t="s">
        <v>116</v>
      </c>
      <c r="U5" s="175" t="s">
        <v>80</v>
      </c>
      <c r="V5" s="59" t="s">
        <v>19</v>
      </c>
      <c r="W5" s="70"/>
      <c r="X5" s="70"/>
    </row>
    <row r="6" spans="1:24" x14ac:dyDescent="0.35">
      <c r="A6" s="176">
        <v>1</v>
      </c>
      <c r="B6" s="177">
        <v>2</v>
      </c>
      <c r="C6" s="176">
        <v>3</v>
      </c>
      <c r="D6" s="177">
        <v>4</v>
      </c>
      <c r="E6" s="178"/>
      <c r="F6" s="177">
        <v>6</v>
      </c>
      <c r="G6" s="177"/>
      <c r="H6" s="177"/>
      <c r="I6" s="177"/>
      <c r="J6" s="177"/>
      <c r="K6" s="179">
        <v>7</v>
      </c>
      <c r="L6" s="177">
        <v>8</v>
      </c>
      <c r="M6" s="176">
        <v>9</v>
      </c>
      <c r="N6" s="180">
        <v>10</v>
      </c>
      <c r="O6" s="180">
        <v>14</v>
      </c>
      <c r="P6" s="181">
        <v>15</v>
      </c>
      <c r="Q6" s="181"/>
      <c r="R6" s="181"/>
      <c r="S6" s="181"/>
      <c r="T6" s="181"/>
      <c r="U6" s="181"/>
      <c r="V6" s="61"/>
      <c r="W6" s="70" t="s">
        <v>51</v>
      </c>
      <c r="X6" s="70"/>
    </row>
    <row r="7" spans="1:24" x14ac:dyDescent="0.35">
      <c r="A7" s="182" t="s">
        <v>4</v>
      </c>
      <c r="B7" s="183" t="s">
        <v>55</v>
      </c>
      <c r="C7" s="184"/>
      <c r="D7" s="184"/>
      <c r="E7" s="185"/>
      <c r="F7" s="186"/>
      <c r="G7" s="186"/>
      <c r="H7" s="186"/>
      <c r="I7" s="186"/>
      <c r="J7" s="186"/>
      <c r="K7" s="187"/>
      <c r="L7" s="188"/>
      <c r="M7" s="189"/>
      <c r="N7" s="190"/>
      <c r="O7" s="190"/>
      <c r="P7" s="191"/>
      <c r="Q7" s="191"/>
      <c r="R7" s="191"/>
      <c r="S7" s="191"/>
      <c r="T7" s="191"/>
      <c r="U7" s="191"/>
      <c r="V7" s="61"/>
      <c r="W7" s="70" t="s">
        <v>44</v>
      </c>
      <c r="X7" s="70" t="s">
        <v>45</v>
      </c>
    </row>
    <row r="8" spans="1:24" x14ac:dyDescent="0.35">
      <c r="A8" s="59"/>
      <c r="B8" s="192" t="s">
        <v>65</v>
      </c>
      <c r="C8" s="61"/>
      <c r="D8" s="61"/>
      <c r="E8" s="193">
        <f>SUM(E9+E13+E15+E17+E19+E21+E24+E27)</f>
        <v>1067.8</v>
      </c>
      <c r="F8" s="61"/>
      <c r="G8" s="61"/>
      <c r="H8" s="61"/>
      <c r="I8" s="61"/>
      <c r="J8" s="61"/>
      <c r="K8" s="30"/>
      <c r="L8" s="194"/>
      <c r="M8" s="195"/>
      <c r="N8" s="29">
        <f>SUM(N9+N13+N15+N17+N19+N21+N24+N27)</f>
        <v>68321600</v>
      </c>
      <c r="O8" s="196"/>
      <c r="P8" s="29">
        <f>SUM(P9+P13+P15+P17+P19+P21+P24+P27)</f>
        <v>273286400</v>
      </c>
      <c r="Q8" s="29"/>
      <c r="R8" s="29"/>
      <c r="S8" s="29"/>
      <c r="T8" s="29"/>
      <c r="U8" s="29"/>
      <c r="V8" s="61"/>
      <c r="W8" s="197" t="s">
        <v>41</v>
      </c>
      <c r="X8" s="197">
        <v>66000</v>
      </c>
    </row>
    <row r="9" spans="1:24" x14ac:dyDescent="0.3">
      <c r="A9" s="198">
        <v>1</v>
      </c>
      <c r="B9" s="65" t="s">
        <v>66</v>
      </c>
      <c r="C9" s="61"/>
      <c r="D9" s="61"/>
      <c r="E9" s="199">
        <f>SUM(E10:E12)</f>
        <v>368.59999999999997</v>
      </c>
      <c r="F9" s="61"/>
      <c r="G9" s="61"/>
      <c r="H9" s="61"/>
      <c r="I9" s="61"/>
      <c r="J9" s="61"/>
      <c r="K9" s="30"/>
      <c r="L9" s="90"/>
      <c r="M9" s="200"/>
      <c r="N9" s="29">
        <f>SUM(N10:N12)</f>
        <v>22660200</v>
      </c>
      <c r="O9" s="62"/>
      <c r="P9" s="29">
        <f>SUM(P10:P12)</f>
        <v>90640800</v>
      </c>
      <c r="Q9" s="29"/>
      <c r="R9" s="29"/>
      <c r="S9" s="29"/>
      <c r="T9" s="29"/>
      <c r="U9" s="29"/>
      <c r="V9" s="61"/>
      <c r="W9" s="71" t="s">
        <v>49</v>
      </c>
      <c r="X9" s="197">
        <v>66000</v>
      </c>
    </row>
    <row r="10" spans="1:24" x14ac:dyDescent="0.3">
      <c r="A10" s="198"/>
      <c r="B10" s="65"/>
      <c r="C10" s="61">
        <v>1</v>
      </c>
      <c r="D10" s="61" t="s">
        <v>81</v>
      </c>
      <c r="E10" s="201">
        <v>37.700000000000003</v>
      </c>
      <c r="F10" s="61" t="s">
        <v>12</v>
      </c>
      <c r="G10" s="202">
        <v>284</v>
      </c>
      <c r="H10" s="61">
        <v>58</v>
      </c>
      <c r="I10" s="61">
        <v>84</v>
      </c>
      <c r="J10" s="61" t="s">
        <v>84</v>
      </c>
      <c r="K10" s="30" t="s">
        <v>12</v>
      </c>
      <c r="L10" s="203" t="s">
        <v>58</v>
      </c>
      <c r="M10" s="200">
        <f>VLOOKUP(K10,$W$8:$X$17,2,0)</f>
        <v>60000</v>
      </c>
      <c r="N10" s="62">
        <f>E10*M10</f>
        <v>2262000</v>
      </c>
      <c r="O10" s="62">
        <v>4</v>
      </c>
      <c r="P10" s="62">
        <f>E10*M10*O10</f>
        <v>9048000</v>
      </c>
      <c r="Q10" s="62"/>
      <c r="R10" s="62"/>
      <c r="S10" s="62"/>
      <c r="T10" s="62"/>
      <c r="U10" s="62"/>
      <c r="V10" s="61" t="s">
        <v>113</v>
      </c>
      <c r="W10" s="197" t="s">
        <v>12</v>
      </c>
      <c r="X10" s="197">
        <v>60000</v>
      </c>
    </row>
    <row r="11" spans="1:24" s="142" customFormat="1" ht="24" customHeight="1" x14ac:dyDescent="0.3">
      <c r="A11" s="204"/>
      <c r="B11" s="205"/>
      <c r="C11" s="30">
        <v>1</v>
      </c>
      <c r="D11" s="30" t="s">
        <v>82</v>
      </c>
      <c r="E11" s="201">
        <v>240.2</v>
      </c>
      <c r="F11" s="30" t="s">
        <v>49</v>
      </c>
      <c r="G11" s="206"/>
      <c r="H11" s="30">
        <v>92</v>
      </c>
      <c r="I11" s="30">
        <v>361</v>
      </c>
      <c r="J11" s="30" t="s">
        <v>85</v>
      </c>
      <c r="K11" s="30" t="s">
        <v>12</v>
      </c>
      <c r="L11" s="203" t="s">
        <v>58</v>
      </c>
      <c r="M11" s="200">
        <f>VLOOKUP(K11,$W$8:$X$17,2,0)</f>
        <v>60000</v>
      </c>
      <c r="N11" s="62">
        <f>E11*M11</f>
        <v>14412000</v>
      </c>
      <c r="O11" s="62">
        <v>4</v>
      </c>
      <c r="P11" s="62">
        <f>E11*M11*O11</f>
        <v>57648000</v>
      </c>
      <c r="Q11" s="207" t="s">
        <v>114</v>
      </c>
      <c r="R11" s="207" t="s">
        <v>115</v>
      </c>
      <c r="S11" s="207" t="s">
        <v>112</v>
      </c>
      <c r="T11" s="62">
        <v>461</v>
      </c>
      <c r="U11" s="208" t="s">
        <v>122</v>
      </c>
      <c r="V11" s="209" t="s">
        <v>119</v>
      </c>
      <c r="W11" s="197" t="s">
        <v>13</v>
      </c>
      <c r="X11" s="210">
        <v>52000</v>
      </c>
    </row>
    <row r="12" spans="1:24" x14ac:dyDescent="0.3">
      <c r="A12" s="198"/>
      <c r="B12" s="211"/>
      <c r="C12" s="61">
        <v>1</v>
      </c>
      <c r="D12" s="61" t="s">
        <v>83</v>
      </c>
      <c r="E12" s="185">
        <v>90.7</v>
      </c>
      <c r="F12" s="61" t="s">
        <v>49</v>
      </c>
      <c r="G12" s="212"/>
      <c r="H12" s="61">
        <v>97</v>
      </c>
      <c r="I12" s="61">
        <v>1374</v>
      </c>
      <c r="J12" s="61" t="s">
        <v>85</v>
      </c>
      <c r="K12" s="30" t="s">
        <v>49</v>
      </c>
      <c r="L12" s="203" t="s">
        <v>58</v>
      </c>
      <c r="M12" s="200">
        <f>VLOOKUP(K12,$W$8:$X$17,2,0)</f>
        <v>66000</v>
      </c>
      <c r="N12" s="62">
        <f>E12*M12</f>
        <v>5986200</v>
      </c>
      <c r="O12" s="62">
        <v>4</v>
      </c>
      <c r="P12" s="62">
        <f>E12*M12*O12</f>
        <v>23944800</v>
      </c>
      <c r="Q12" s="213"/>
      <c r="R12" s="213"/>
      <c r="S12" s="213"/>
      <c r="T12" s="62">
        <v>1374</v>
      </c>
      <c r="U12" s="62" t="s">
        <v>105</v>
      </c>
      <c r="V12" s="214"/>
      <c r="W12" s="197"/>
      <c r="X12" s="197"/>
    </row>
    <row r="13" spans="1:24" x14ac:dyDescent="0.3">
      <c r="A13" s="198">
        <v>2</v>
      </c>
      <c r="B13" s="65" t="s">
        <v>67</v>
      </c>
      <c r="C13" s="61"/>
      <c r="D13" s="61"/>
      <c r="E13" s="199">
        <f>SUM(E14)</f>
        <v>201.3</v>
      </c>
      <c r="F13" s="201"/>
      <c r="G13" s="201"/>
      <c r="H13" s="201"/>
      <c r="I13" s="201"/>
      <c r="J13" s="201"/>
      <c r="K13" s="201"/>
      <c r="L13" s="201"/>
      <c r="M13" s="200"/>
      <c r="N13" s="29">
        <f>SUM(N14)</f>
        <v>13285800</v>
      </c>
      <c r="O13" s="29"/>
      <c r="P13" s="29">
        <f>SUM(P14)</f>
        <v>53143200</v>
      </c>
      <c r="Q13" s="29"/>
      <c r="R13" s="29"/>
      <c r="S13" s="29"/>
      <c r="T13" s="29"/>
      <c r="U13" s="29"/>
      <c r="V13" s="214"/>
      <c r="W13" s="143"/>
      <c r="X13" s="143"/>
    </row>
    <row r="14" spans="1:24" x14ac:dyDescent="0.3">
      <c r="A14" s="198"/>
      <c r="B14" s="215"/>
      <c r="C14" s="61">
        <v>1</v>
      </c>
      <c r="D14" s="61" t="s">
        <v>86</v>
      </c>
      <c r="E14" s="185">
        <v>201.3</v>
      </c>
      <c r="F14" s="61" t="s">
        <v>49</v>
      </c>
      <c r="G14" s="61">
        <v>284</v>
      </c>
      <c r="H14" s="61">
        <v>25</v>
      </c>
      <c r="I14" s="61">
        <v>1339</v>
      </c>
      <c r="J14" s="61" t="s">
        <v>85</v>
      </c>
      <c r="K14" s="30" t="s">
        <v>49</v>
      </c>
      <c r="L14" s="216" t="s">
        <v>58</v>
      </c>
      <c r="M14" s="200">
        <f>VLOOKUP(K14,$W$8:$X$17,2,0)</f>
        <v>66000</v>
      </c>
      <c r="N14" s="62">
        <f>E14*M14</f>
        <v>13285800</v>
      </c>
      <c r="O14" s="62">
        <v>4</v>
      </c>
      <c r="P14" s="62">
        <f>E14*M14*O14</f>
        <v>53143200</v>
      </c>
      <c r="Q14" s="62" t="s">
        <v>120</v>
      </c>
      <c r="R14" s="62" t="s">
        <v>115</v>
      </c>
      <c r="S14" s="62" t="s">
        <v>121</v>
      </c>
      <c r="T14" s="62">
        <v>1339</v>
      </c>
      <c r="U14" s="62" t="s">
        <v>105</v>
      </c>
      <c r="V14" s="214"/>
      <c r="W14" s="143"/>
      <c r="X14" s="143"/>
    </row>
    <row r="15" spans="1:24" x14ac:dyDescent="0.3">
      <c r="A15" s="198">
        <v>3</v>
      </c>
      <c r="B15" s="65" t="s">
        <v>68</v>
      </c>
      <c r="C15" s="61"/>
      <c r="D15" s="61"/>
      <c r="E15" s="199">
        <f>SUM(E16)</f>
        <v>0.4</v>
      </c>
      <c r="F15" s="201"/>
      <c r="G15" s="201"/>
      <c r="H15" s="201"/>
      <c r="I15" s="201"/>
      <c r="J15" s="201"/>
      <c r="K15" s="201"/>
      <c r="L15" s="201"/>
      <c r="M15" s="200"/>
      <c r="N15" s="29">
        <f>SUM(N16)</f>
        <v>26400</v>
      </c>
      <c r="O15" s="29"/>
      <c r="P15" s="29">
        <f>SUM(P16)</f>
        <v>105600</v>
      </c>
      <c r="Q15" s="29"/>
      <c r="R15" s="29"/>
      <c r="S15" s="29"/>
      <c r="T15" s="29"/>
      <c r="U15" s="29"/>
      <c r="V15" s="201"/>
      <c r="W15" s="197" t="s">
        <v>56</v>
      </c>
      <c r="X15" s="197"/>
    </row>
    <row r="16" spans="1:24" x14ac:dyDescent="0.3">
      <c r="A16" s="198"/>
      <c r="B16" s="215"/>
      <c r="C16" s="61">
        <v>1</v>
      </c>
      <c r="D16" s="61" t="s">
        <v>87</v>
      </c>
      <c r="E16" s="185">
        <v>0.4</v>
      </c>
      <c r="F16" s="61" t="s">
        <v>49</v>
      </c>
      <c r="G16" s="61">
        <v>284</v>
      </c>
      <c r="H16" s="61">
        <v>25</v>
      </c>
      <c r="I16" s="61">
        <v>1339</v>
      </c>
      <c r="J16" s="61" t="s">
        <v>85</v>
      </c>
      <c r="K16" s="30" t="s">
        <v>49</v>
      </c>
      <c r="L16" s="216" t="s">
        <v>58</v>
      </c>
      <c r="M16" s="200">
        <f>VLOOKUP(K16,$W$8:$X$17,2,0)</f>
        <v>66000</v>
      </c>
      <c r="N16" s="62">
        <f>E16*M16</f>
        <v>26400</v>
      </c>
      <c r="O16" s="62">
        <v>4</v>
      </c>
      <c r="P16" s="62">
        <f>E16*M16*O16</f>
        <v>105600</v>
      </c>
      <c r="Q16" s="62" t="s">
        <v>120</v>
      </c>
      <c r="R16" s="62" t="s">
        <v>115</v>
      </c>
      <c r="S16" s="62" t="s">
        <v>121</v>
      </c>
      <c r="T16" s="62">
        <v>1339</v>
      </c>
      <c r="U16" s="62" t="s">
        <v>105</v>
      </c>
      <c r="V16" s="214"/>
      <c r="W16" s="197" t="s">
        <v>50</v>
      </c>
      <c r="X16" s="197">
        <v>12000</v>
      </c>
    </row>
    <row r="17" spans="1:24" x14ac:dyDescent="0.3">
      <c r="A17" s="198">
        <v>4</v>
      </c>
      <c r="B17" s="65" t="s">
        <v>69</v>
      </c>
      <c r="C17" s="61"/>
      <c r="D17" s="61"/>
      <c r="E17" s="199">
        <f>SUM(E18)</f>
        <v>8.3000000000000007</v>
      </c>
      <c r="F17" s="201"/>
      <c r="G17" s="201"/>
      <c r="H17" s="201"/>
      <c r="I17" s="201"/>
      <c r="J17" s="201"/>
      <c r="K17" s="201"/>
      <c r="L17" s="201"/>
      <c r="M17" s="200"/>
      <c r="N17" s="29">
        <f>SUM(N18)</f>
        <v>431600.00000000006</v>
      </c>
      <c r="O17" s="29"/>
      <c r="P17" s="29">
        <f>SUM(P18)</f>
        <v>1726400.0000000002</v>
      </c>
      <c r="Q17" s="29"/>
      <c r="R17" s="29"/>
      <c r="S17" s="29"/>
      <c r="T17" s="29"/>
      <c r="U17" s="29"/>
      <c r="V17" s="201"/>
      <c r="W17" s="197" t="s">
        <v>52</v>
      </c>
      <c r="X17" s="197">
        <v>608000</v>
      </c>
    </row>
    <row r="18" spans="1:24" x14ac:dyDescent="0.35">
      <c r="A18" s="198"/>
      <c r="B18" s="215"/>
      <c r="C18" s="61">
        <v>1</v>
      </c>
      <c r="D18" s="61" t="s">
        <v>88</v>
      </c>
      <c r="E18" s="185">
        <v>8.3000000000000007</v>
      </c>
      <c r="F18" s="61" t="s">
        <v>13</v>
      </c>
      <c r="G18" s="61">
        <v>284</v>
      </c>
      <c r="H18" s="61">
        <v>26</v>
      </c>
      <c r="I18" s="61">
        <v>1300</v>
      </c>
      <c r="J18" s="61" t="s">
        <v>96</v>
      </c>
      <c r="K18" s="30" t="s">
        <v>13</v>
      </c>
      <c r="L18" s="216" t="s">
        <v>58</v>
      </c>
      <c r="M18" s="200">
        <f>VLOOKUP(K18,$W$8:$X$17,2,0)</f>
        <v>52000</v>
      </c>
      <c r="N18" s="62">
        <f>E18*M18</f>
        <v>431600.00000000006</v>
      </c>
      <c r="O18" s="62">
        <v>4</v>
      </c>
      <c r="P18" s="62">
        <f>E18*M18*O18</f>
        <v>1726400.0000000002</v>
      </c>
      <c r="Q18" s="62"/>
      <c r="R18" s="62"/>
      <c r="S18" s="62"/>
      <c r="T18" s="62"/>
      <c r="U18" s="62"/>
      <c r="V18" s="61"/>
      <c r="W18" s="143"/>
      <c r="X18" s="143"/>
    </row>
    <row r="19" spans="1:24" x14ac:dyDescent="0.35">
      <c r="A19" s="198">
        <v>5</v>
      </c>
      <c r="B19" s="211" t="s">
        <v>70</v>
      </c>
      <c r="C19" s="61"/>
      <c r="D19" s="61"/>
      <c r="E19" s="199">
        <f>SUM(E20)</f>
        <v>181.7</v>
      </c>
      <c r="F19" s="201"/>
      <c r="G19" s="201"/>
      <c r="H19" s="201"/>
      <c r="I19" s="201"/>
      <c r="J19" s="201"/>
      <c r="K19" s="201"/>
      <c r="L19" s="201"/>
      <c r="M19" s="200"/>
      <c r="N19" s="29">
        <f>SUM(N20)</f>
        <v>11992200</v>
      </c>
      <c r="O19" s="29"/>
      <c r="P19" s="29">
        <f>SUM(P20)</f>
        <v>47968800</v>
      </c>
      <c r="Q19" s="29"/>
      <c r="R19" s="29"/>
      <c r="S19" s="29"/>
      <c r="T19" s="29"/>
      <c r="U19" s="29"/>
      <c r="V19" s="201"/>
      <c r="W19" s="143"/>
      <c r="X19" s="143"/>
    </row>
    <row r="20" spans="1:24" x14ac:dyDescent="0.3">
      <c r="A20" s="198"/>
      <c r="B20" s="215"/>
      <c r="C20" s="61">
        <v>1</v>
      </c>
      <c r="D20" s="61" t="s">
        <v>89</v>
      </c>
      <c r="E20" s="185">
        <v>181.7</v>
      </c>
      <c r="F20" s="61" t="s">
        <v>49</v>
      </c>
      <c r="G20" s="61">
        <v>284</v>
      </c>
      <c r="H20" s="61">
        <v>18</v>
      </c>
      <c r="I20" s="61">
        <v>872</v>
      </c>
      <c r="J20" s="61" t="s">
        <v>85</v>
      </c>
      <c r="K20" s="30" t="s">
        <v>49</v>
      </c>
      <c r="L20" s="216" t="s">
        <v>58</v>
      </c>
      <c r="M20" s="200">
        <f>VLOOKUP(K20,$W$8:$X$17,2,0)</f>
        <v>66000</v>
      </c>
      <c r="N20" s="62">
        <f>E20*M20</f>
        <v>11992200</v>
      </c>
      <c r="O20" s="62">
        <v>4</v>
      </c>
      <c r="P20" s="62">
        <f>E20*M20*O20</f>
        <v>47968800</v>
      </c>
      <c r="Q20" s="62" t="s">
        <v>120</v>
      </c>
      <c r="R20" s="62" t="s">
        <v>115</v>
      </c>
      <c r="S20" s="62" t="s">
        <v>130</v>
      </c>
      <c r="T20" s="62">
        <v>872</v>
      </c>
      <c r="U20" s="62" t="s">
        <v>105</v>
      </c>
      <c r="V20" s="214"/>
      <c r="W20" s="143"/>
      <c r="X20" s="143"/>
    </row>
    <row r="21" spans="1:24" x14ac:dyDescent="0.35">
      <c r="A21" s="198">
        <v>6</v>
      </c>
      <c r="B21" s="211" t="s">
        <v>71</v>
      </c>
      <c r="C21" s="61"/>
      <c r="D21" s="61"/>
      <c r="E21" s="199">
        <f>SUM(E22:E23)</f>
        <v>49.8</v>
      </c>
      <c r="F21" s="201"/>
      <c r="G21" s="201"/>
      <c r="H21" s="201"/>
      <c r="I21" s="201"/>
      <c r="J21" s="201"/>
      <c r="K21" s="201"/>
      <c r="L21" s="201"/>
      <c r="M21" s="200"/>
      <c r="N21" s="29">
        <f>SUM(N22:N23)</f>
        <v>3286800</v>
      </c>
      <c r="O21" s="29"/>
      <c r="P21" s="29">
        <f>SUM(P22:P23)</f>
        <v>13147200</v>
      </c>
      <c r="Q21" s="29"/>
      <c r="R21" s="29"/>
      <c r="S21" s="29"/>
      <c r="T21" s="29"/>
      <c r="U21" s="29"/>
      <c r="V21" s="201"/>
      <c r="W21" s="143"/>
      <c r="X21" s="143"/>
    </row>
    <row r="22" spans="1:24" x14ac:dyDescent="0.35">
      <c r="A22" s="198"/>
      <c r="B22" s="211"/>
      <c r="C22" s="61">
        <v>1</v>
      </c>
      <c r="D22" s="61" t="s">
        <v>90</v>
      </c>
      <c r="E22" s="185">
        <v>38.1</v>
      </c>
      <c r="F22" s="61" t="s">
        <v>49</v>
      </c>
      <c r="G22" s="61">
        <v>284</v>
      </c>
      <c r="H22" s="61">
        <v>17</v>
      </c>
      <c r="I22" s="61">
        <v>889</v>
      </c>
      <c r="J22" s="61" t="s">
        <v>85</v>
      </c>
      <c r="K22" s="30" t="s">
        <v>49</v>
      </c>
      <c r="L22" s="203" t="s">
        <v>58</v>
      </c>
      <c r="M22" s="200">
        <f>VLOOKUP(K22,$W$8:$X$17,2,0)</f>
        <v>66000</v>
      </c>
      <c r="N22" s="62">
        <f>E22*M22</f>
        <v>2514600</v>
      </c>
      <c r="O22" s="62">
        <v>4</v>
      </c>
      <c r="P22" s="62">
        <f>E22*M22*O22</f>
        <v>10058400</v>
      </c>
      <c r="Q22" s="207" t="s">
        <v>117</v>
      </c>
      <c r="R22" s="207" t="s">
        <v>115</v>
      </c>
      <c r="S22" s="207" t="s">
        <v>118</v>
      </c>
      <c r="T22" s="207">
        <v>889</v>
      </c>
      <c r="U22" s="207" t="s">
        <v>105</v>
      </c>
      <c r="V22" s="201"/>
      <c r="W22" s="143"/>
      <c r="X22" s="143"/>
    </row>
    <row r="23" spans="1:24" x14ac:dyDescent="0.35">
      <c r="A23" s="198"/>
      <c r="B23" s="215"/>
      <c r="C23" s="61">
        <v>1</v>
      </c>
      <c r="D23" s="61" t="s">
        <v>91</v>
      </c>
      <c r="E23" s="185">
        <v>11.7</v>
      </c>
      <c r="F23" s="61" t="s">
        <v>49</v>
      </c>
      <c r="G23" s="61">
        <v>284</v>
      </c>
      <c r="H23" s="61">
        <v>17</v>
      </c>
      <c r="I23" s="61">
        <v>889</v>
      </c>
      <c r="J23" s="61" t="s">
        <v>85</v>
      </c>
      <c r="K23" s="30" t="s">
        <v>49</v>
      </c>
      <c r="L23" s="216" t="s">
        <v>58</v>
      </c>
      <c r="M23" s="200">
        <f>VLOOKUP(K23,$W$8:$X$17,2,0)</f>
        <v>66000</v>
      </c>
      <c r="N23" s="62">
        <f>E23*M23</f>
        <v>772200</v>
      </c>
      <c r="O23" s="62">
        <v>4</v>
      </c>
      <c r="P23" s="62">
        <f>E23*M23*O23</f>
        <v>3088800</v>
      </c>
      <c r="Q23" s="213"/>
      <c r="R23" s="213"/>
      <c r="S23" s="213"/>
      <c r="T23" s="213"/>
      <c r="U23" s="213"/>
      <c r="V23" s="61"/>
      <c r="W23" s="143"/>
      <c r="X23" s="143"/>
    </row>
    <row r="24" spans="1:24" ht="18" customHeight="1" x14ac:dyDescent="0.3">
      <c r="A24" s="198">
        <v>7</v>
      </c>
      <c r="B24" s="65" t="s">
        <v>72</v>
      </c>
      <c r="C24" s="61"/>
      <c r="D24" s="61"/>
      <c r="E24" s="199">
        <f>SUM(E25:E26)</f>
        <v>61.599999999999994</v>
      </c>
      <c r="F24" s="201"/>
      <c r="G24" s="201"/>
      <c r="H24" s="201"/>
      <c r="I24" s="201"/>
      <c r="J24" s="201"/>
      <c r="K24" s="201"/>
      <c r="L24" s="201"/>
      <c r="M24" s="200"/>
      <c r="N24" s="29">
        <f>SUM(N25:N26)</f>
        <v>3696000</v>
      </c>
      <c r="O24" s="29"/>
      <c r="P24" s="29">
        <f>SUM(P25:P26)</f>
        <v>14784000</v>
      </c>
      <c r="Q24" s="29"/>
      <c r="R24" s="29"/>
      <c r="S24" s="29"/>
      <c r="T24" s="29"/>
      <c r="U24" s="217"/>
      <c r="V24" s="201"/>
      <c r="W24" s="143"/>
      <c r="X24" s="143"/>
    </row>
    <row r="25" spans="1:24" ht="30.6" customHeight="1" x14ac:dyDescent="0.3">
      <c r="A25" s="198"/>
      <c r="B25" s="65"/>
      <c r="C25" s="61">
        <v>1</v>
      </c>
      <c r="D25" s="61" t="s">
        <v>92</v>
      </c>
      <c r="E25" s="185">
        <v>40.799999999999997</v>
      </c>
      <c r="F25" s="61" t="s">
        <v>12</v>
      </c>
      <c r="G25" s="61">
        <v>284</v>
      </c>
      <c r="H25" s="61">
        <v>15</v>
      </c>
      <c r="I25" s="61">
        <v>377</v>
      </c>
      <c r="J25" s="61" t="s">
        <v>84</v>
      </c>
      <c r="K25" s="30" t="s">
        <v>12</v>
      </c>
      <c r="L25" s="203" t="s">
        <v>58</v>
      </c>
      <c r="M25" s="200">
        <f>VLOOKUP(K25,$W$8:$X$17,2,0)</f>
        <v>60000</v>
      </c>
      <c r="N25" s="62">
        <f>E25*M25</f>
        <v>2448000</v>
      </c>
      <c r="O25" s="62">
        <v>4</v>
      </c>
      <c r="P25" s="62">
        <f>E25*M25*O25</f>
        <v>9792000</v>
      </c>
      <c r="Q25" s="207" t="s">
        <v>125</v>
      </c>
      <c r="R25" s="207" t="s">
        <v>115</v>
      </c>
      <c r="S25" s="207" t="s">
        <v>124</v>
      </c>
      <c r="T25" s="62">
        <v>377</v>
      </c>
      <c r="U25" s="218" t="s">
        <v>122</v>
      </c>
      <c r="V25" s="219" t="s">
        <v>126</v>
      </c>
      <c r="W25" s="143"/>
      <c r="X25" s="143"/>
    </row>
    <row r="26" spans="1:24" ht="30.6" customHeight="1" x14ac:dyDescent="0.35">
      <c r="A26" s="198"/>
      <c r="B26" s="215"/>
      <c r="C26" s="61">
        <v>1</v>
      </c>
      <c r="D26" s="61" t="s">
        <v>93</v>
      </c>
      <c r="E26" s="185">
        <v>20.8</v>
      </c>
      <c r="F26" s="61" t="s">
        <v>12</v>
      </c>
      <c r="G26" s="61">
        <v>284</v>
      </c>
      <c r="H26" s="61">
        <v>14</v>
      </c>
      <c r="I26" s="61">
        <v>491</v>
      </c>
      <c r="J26" s="61" t="s">
        <v>84</v>
      </c>
      <c r="K26" s="30" t="s">
        <v>12</v>
      </c>
      <c r="L26" s="216" t="s">
        <v>58</v>
      </c>
      <c r="M26" s="200">
        <f>VLOOKUP(K26,$W$8:$X$17,2,0)</f>
        <v>60000</v>
      </c>
      <c r="N26" s="62">
        <f>E26*M26</f>
        <v>1248000</v>
      </c>
      <c r="O26" s="62">
        <v>4</v>
      </c>
      <c r="P26" s="62">
        <f>E26*M26*O26</f>
        <v>4992000</v>
      </c>
      <c r="Q26" s="213"/>
      <c r="R26" s="213"/>
      <c r="S26" s="213"/>
      <c r="T26" s="62">
        <v>599</v>
      </c>
      <c r="U26" s="218"/>
      <c r="V26" s="220"/>
      <c r="W26" s="143"/>
      <c r="X26" s="143"/>
    </row>
    <row r="27" spans="1:24" x14ac:dyDescent="0.3">
      <c r="A27" s="198">
        <v>8</v>
      </c>
      <c r="B27" s="65" t="s">
        <v>73</v>
      </c>
      <c r="C27" s="61"/>
      <c r="D27" s="61"/>
      <c r="E27" s="199">
        <f>SUM(E28:E29)</f>
        <v>196.1</v>
      </c>
      <c r="F27" s="201"/>
      <c r="G27" s="201"/>
      <c r="H27" s="201"/>
      <c r="I27" s="201"/>
      <c r="J27" s="201"/>
      <c r="K27" s="201"/>
      <c r="L27" s="201"/>
      <c r="M27" s="200"/>
      <c r="N27" s="29">
        <f>SUM(N28:N29)</f>
        <v>12942600</v>
      </c>
      <c r="O27" s="29"/>
      <c r="P27" s="29">
        <f>SUM(P28:P29)</f>
        <v>51770400</v>
      </c>
      <c r="Q27" s="29"/>
      <c r="R27" s="29"/>
      <c r="S27" s="29"/>
      <c r="T27" s="29"/>
      <c r="U27" s="29"/>
      <c r="V27" s="201"/>
      <c r="W27" s="143"/>
      <c r="X27" s="143"/>
    </row>
    <row r="28" spans="1:24" ht="27.6" customHeight="1" x14ac:dyDescent="0.3">
      <c r="A28" s="198"/>
      <c r="B28" s="65"/>
      <c r="C28" s="61">
        <v>1</v>
      </c>
      <c r="D28" s="221" t="s">
        <v>95</v>
      </c>
      <c r="E28" s="185">
        <v>153.1</v>
      </c>
      <c r="F28" s="61" t="s">
        <v>49</v>
      </c>
      <c r="G28" s="61">
        <v>284</v>
      </c>
      <c r="H28" s="61">
        <v>11</v>
      </c>
      <c r="I28" s="61">
        <v>839</v>
      </c>
      <c r="J28" s="61" t="s">
        <v>85</v>
      </c>
      <c r="K28" s="30" t="s">
        <v>49</v>
      </c>
      <c r="L28" s="203" t="s">
        <v>58</v>
      </c>
      <c r="M28" s="200">
        <f>VLOOKUP(K28,$W$8:$X$17,2,0)</f>
        <v>66000</v>
      </c>
      <c r="N28" s="62">
        <f>E28*M28</f>
        <v>10104600</v>
      </c>
      <c r="O28" s="62">
        <v>4</v>
      </c>
      <c r="P28" s="62">
        <f>E28*M28*O28</f>
        <v>40418400</v>
      </c>
      <c r="Q28" s="207" t="s">
        <v>127</v>
      </c>
      <c r="R28" s="207" t="s">
        <v>115</v>
      </c>
      <c r="S28" s="207" t="s">
        <v>128</v>
      </c>
      <c r="T28" s="207">
        <v>1297</v>
      </c>
      <c r="U28" s="207" t="s">
        <v>105</v>
      </c>
      <c r="V28" s="222" t="s">
        <v>129</v>
      </c>
      <c r="W28" s="143"/>
      <c r="X28" s="143"/>
    </row>
    <row r="29" spans="1:24" ht="27.6" customHeight="1" x14ac:dyDescent="0.35">
      <c r="A29" s="198"/>
      <c r="B29" s="215"/>
      <c r="C29" s="61">
        <v>1</v>
      </c>
      <c r="D29" s="61" t="s">
        <v>94</v>
      </c>
      <c r="E29" s="185">
        <v>43</v>
      </c>
      <c r="F29" s="61" t="s">
        <v>49</v>
      </c>
      <c r="G29" s="61">
        <v>284</v>
      </c>
      <c r="H29" s="61">
        <v>13</v>
      </c>
      <c r="I29" s="61">
        <v>485</v>
      </c>
      <c r="J29" s="61" t="s">
        <v>85</v>
      </c>
      <c r="K29" s="30" t="s">
        <v>49</v>
      </c>
      <c r="L29" s="216" t="s">
        <v>58</v>
      </c>
      <c r="M29" s="200">
        <f>VLOOKUP(K29,$W$8:$X$17,2,0)</f>
        <v>66000</v>
      </c>
      <c r="N29" s="62">
        <f>E29*M29</f>
        <v>2838000</v>
      </c>
      <c r="O29" s="62">
        <v>4</v>
      </c>
      <c r="P29" s="62">
        <f>E29*M29*O29</f>
        <v>11352000</v>
      </c>
      <c r="Q29" s="213"/>
      <c r="R29" s="213"/>
      <c r="S29" s="213"/>
      <c r="T29" s="213"/>
      <c r="U29" s="213"/>
      <c r="V29" s="223"/>
      <c r="W29" s="143"/>
      <c r="X29" s="143"/>
    </row>
  </sheetData>
  <autoFilter ref="A6:V29" xr:uid="{00000000-0001-0000-0100-000000000000}"/>
  <mergeCells count="31">
    <mergeCell ref="A1:P1"/>
    <mergeCell ref="A2:P2"/>
    <mergeCell ref="G10:G12"/>
    <mergeCell ref="M4:M5"/>
    <mergeCell ref="O4:P4"/>
    <mergeCell ref="A4:A5"/>
    <mergeCell ref="B4:B5"/>
    <mergeCell ref="C4:F4"/>
    <mergeCell ref="K4:K5"/>
    <mergeCell ref="L4:L5"/>
    <mergeCell ref="G4:J4"/>
    <mergeCell ref="Q4:U4"/>
    <mergeCell ref="Q11:Q12"/>
    <mergeCell ref="R11:R12"/>
    <mergeCell ref="S11:S12"/>
    <mergeCell ref="Q22:Q23"/>
    <mergeCell ref="R22:R23"/>
    <mergeCell ref="S22:S23"/>
    <mergeCell ref="T22:T23"/>
    <mergeCell ref="U22:U23"/>
    <mergeCell ref="V28:V29"/>
    <mergeCell ref="V25:V26"/>
    <mergeCell ref="Q28:Q29"/>
    <mergeCell ref="R28:R29"/>
    <mergeCell ref="S28:S29"/>
    <mergeCell ref="T28:T29"/>
    <mergeCell ref="U28:U29"/>
    <mergeCell ref="S25:S26"/>
    <mergeCell ref="R25:R26"/>
    <mergeCell ref="Q25:Q26"/>
    <mergeCell ref="U25:U26"/>
  </mergeCells>
  <phoneticPr fontId="9" type="noConversion"/>
  <conditionalFormatting sqref="B4:B5">
    <cfRule type="duplicateValues" dxfId="17" priority="95"/>
    <cfRule type="duplicateValues" dxfId="16" priority="96"/>
  </conditionalFormatting>
  <conditionalFormatting sqref="B13">
    <cfRule type="duplicateValues" dxfId="15" priority="59"/>
    <cfRule type="duplicateValues" dxfId="14" priority="60"/>
  </conditionalFormatting>
  <conditionalFormatting sqref="B15">
    <cfRule type="duplicateValues" dxfId="13" priority="57"/>
    <cfRule type="duplicateValues" dxfId="12" priority="58"/>
  </conditionalFormatting>
  <conditionalFormatting sqref="B17">
    <cfRule type="duplicateValues" dxfId="11" priority="51"/>
    <cfRule type="duplicateValues" dxfId="10" priority="52"/>
  </conditionalFormatting>
  <conditionalFormatting sqref="B24:B25">
    <cfRule type="duplicateValues" dxfId="9" priority="39"/>
    <cfRule type="duplicateValues" dxfId="8" priority="40"/>
  </conditionalFormatting>
  <conditionalFormatting sqref="B27:B28">
    <cfRule type="duplicateValues" dxfId="7" priority="37"/>
    <cfRule type="duplicateValues" dxfId="6" priority="38"/>
  </conditionalFormatting>
  <pageMargins left="0.39370078740157483" right="0.39370078740157483" top="0.39370078740157483" bottom="0.39370078740157483" header="0.51181102362204722" footer="0.78740157480314965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6"/>
  <sheetViews>
    <sheetView zoomScale="99" zoomScaleNormal="99" zoomScaleSheetLayoutView="90" workbookViewId="0">
      <selection activeCell="C19" sqref="C19"/>
    </sheetView>
  </sheetViews>
  <sheetFormatPr defaultColWidth="8.90625" defaultRowHeight="15.6" x14ac:dyDescent="0.35"/>
  <cols>
    <col min="1" max="1" width="3.453125" style="19" customWidth="1"/>
    <col min="2" max="2" width="14.36328125" style="40" customWidth="1"/>
    <col min="3" max="3" width="12.26953125" style="20" customWidth="1"/>
    <col min="4" max="4" width="24.1796875" style="20" customWidth="1"/>
    <col min="5" max="5" width="7.90625" style="20" customWidth="1"/>
    <col min="6" max="6" width="4.6328125" style="20" customWidth="1"/>
    <col min="7" max="7" width="8.08984375" style="21" bestFit="1" customWidth="1"/>
    <col min="8" max="8" width="4.81640625" style="20" customWidth="1"/>
    <col min="9" max="9" width="11.26953125" style="21" customWidth="1"/>
    <col min="10" max="10" width="8.08984375" style="20" bestFit="1" customWidth="1"/>
    <col min="11" max="11" width="7.08984375" style="20" bestFit="1" customWidth="1"/>
    <col min="12" max="12" width="8.90625" style="20" customWidth="1"/>
    <col min="13" max="13" width="6.90625" style="20" bestFit="1" customWidth="1"/>
    <col min="14" max="14" width="8.90625" style="12" customWidth="1"/>
    <col min="15" max="15" width="13.453125" style="12" customWidth="1"/>
    <col min="16" max="16384" width="8.90625" style="12"/>
  </cols>
  <sheetData>
    <row r="1" spans="1:17" s="13" customFormat="1" ht="16.8" x14ac:dyDescent="0.35">
      <c r="A1" s="117" t="s">
        <v>109</v>
      </c>
      <c r="B1" s="117"/>
      <c r="C1" s="117"/>
      <c r="D1" s="117"/>
      <c r="E1" s="117"/>
      <c r="F1" s="117"/>
      <c r="G1" s="118"/>
      <c r="H1" s="117"/>
      <c r="I1" s="117"/>
      <c r="J1" s="1"/>
      <c r="K1" s="1"/>
      <c r="L1" s="2"/>
      <c r="M1" s="1"/>
    </row>
    <row r="2" spans="1:17" s="13" customFormat="1" ht="11.4" customHeight="1" x14ac:dyDescent="0.35">
      <c r="A2" s="125" t="s">
        <v>101</v>
      </c>
      <c r="B2" s="125"/>
      <c r="C2" s="125"/>
      <c r="D2" s="125"/>
      <c r="E2" s="125"/>
      <c r="F2" s="125"/>
      <c r="G2" s="125"/>
      <c r="H2" s="125"/>
      <c r="I2" s="125"/>
      <c r="J2" s="3"/>
      <c r="K2" s="3"/>
      <c r="L2" s="2"/>
      <c r="M2" s="3"/>
    </row>
    <row r="3" spans="1:17" ht="11.4" customHeight="1" x14ac:dyDescent="0.35">
      <c r="A3" s="125"/>
      <c r="B3" s="125"/>
      <c r="C3" s="125"/>
      <c r="D3" s="125"/>
      <c r="E3" s="125"/>
      <c r="F3" s="125"/>
      <c r="G3" s="125"/>
      <c r="H3" s="125"/>
      <c r="I3" s="125"/>
      <c r="J3" s="9"/>
      <c r="K3" s="9"/>
      <c r="L3" s="8"/>
      <c r="M3" s="9"/>
      <c r="N3" s="35"/>
      <c r="O3" s="35"/>
      <c r="P3" s="35"/>
      <c r="Q3" s="35"/>
    </row>
    <row r="4" spans="1:17" x14ac:dyDescent="0.35">
      <c r="A4" s="11"/>
      <c r="B4" s="39"/>
      <c r="C4" s="5"/>
      <c r="D4" s="5"/>
      <c r="E4" s="4"/>
      <c r="F4" s="5"/>
      <c r="G4" s="18"/>
      <c r="H4" s="119" t="s">
        <v>0</v>
      </c>
      <c r="I4" s="119"/>
      <c r="J4" s="5"/>
      <c r="K4" s="5"/>
      <c r="L4" s="6"/>
      <c r="M4" s="7"/>
      <c r="N4" s="35"/>
      <c r="O4" s="35"/>
      <c r="P4" s="35"/>
      <c r="Q4" s="35"/>
    </row>
    <row r="5" spans="1:17" s="13" customFormat="1" x14ac:dyDescent="0.35">
      <c r="A5" s="120" t="s">
        <v>15</v>
      </c>
      <c r="B5" s="121" t="s">
        <v>29</v>
      </c>
      <c r="C5" s="120" t="s">
        <v>60</v>
      </c>
      <c r="D5" s="120" t="s">
        <v>31</v>
      </c>
      <c r="E5" s="124" t="s">
        <v>16</v>
      </c>
      <c r="F5" s="120" t="s">
        <v>17</v>
      </c>
      <c r="G5" s="123" t="s">
        <v>32</v>
      </c>
      <c r="H5" s="122" t="s">
        <v>11</v>
      </c>
      <c r="I5" s="123" t="s">
        <v>33</v>
      </c>
      <c r="J5" s="115" t="s">
        <v>18</v>
      </c>
      <c r="K5" s="115"/>
      <c r="L5" s="115"/>
      <c r="M5" s="116" t="s">
        <v>19</v>
      </c>
      <c r="N5" s="34"/>
      <c r="O5" s="35" t="s">
        <v>54</v>
      </c>
      <c r="P5" s="34"/>
      <c r="Q5" s="34"/>
    </row>
    <row r="6" spans="1:17" s="13" customFormat="1" ht="33.6" x14ac:dyDescent="0.35">
      <c r="A6" s="120"/>
      <c r="B6" s="121"/>
      <c r="C6" s="120"/>
      <c r="D6" s="120"/>
      <c r="E6" s="124"/>
      <c r="F6" s="120"/>
      <c r="G6" s="123"/>
      <c r="H6" s="122"/>
      <c r="I6" s="123"/>
      <c r="J6" s="10" t="s">
        <v>20</v>
      </c>
      <c r="K6" s="10" t="s">
        <v>21</v>
      </c>
      <c r="L6" s="55" t="s">
        <v>22</v>
      </c>
      <c r="M6" s="116"/>
      <c r="N6" s="34" t="s">
        <v>23</v>
      </c>
      <c r="O6" s="34" t="s">
        <v>24</v>
      </c>
      <c r="P6" s="34"/>
      <c r="Q6" s="34"/>
    </row>
    <row r="7" spans="1:17" s="13" customFormat="1" x14ac:dyDescent="0.35">
      <c r="A7" s="56">
        <v>1</v>
      </c>
      <c r="B7" s="56">
        <v>2</v>
      </c>
      <c r="C7" s="56">
        <v>3</v>
      </c>
      <c r="D7" s="57">
        <v>4</v>
      </c>
      <c r="E7" s="56">
        <v>5</v>
      </c>
      <c r="F7" s="57">
        <v>6</v>
      </c>
      <c r="G7" s="58">
        <v>7</v>
      </c>
      <c r="H7" s="57">
        <v>8</v>
      </c>
      <c r="I7" s="58" t="s">
        <v>25</v>
      </c>
      <c r="J7" s="10"/>
      <c r="K7" s="10">
        <v>10</v>
      </c>
      <c r="L7" s="55">
        <v>11</v>
      </c>
      <c r="M7" s="10"/>
      <c r="N7" s="34"/>
      <c r="O7" s="34"/>
      <c r="P7" s="34"/>
      <c r="Q7" s="34"/>
    </row>
    <row r="8" spans="1:17" x14ac:dyDescent="0.35">
      <c r="A8" s="59" t="s">
        <v>4</v>
      </c>
      <c r="B8" s="99" t="s">
        <v>55</v>
      </c>
      <c r="C8" s="60"/>
      <c r="D8" s="60"/>
      <c r="E8" s="60"/>
      <c r="F8" s="60"/>
      <c r="G8" s="29"/>
      <c r="H8" s="60"/>
      <c r="I8" s="29"/>
      <c r="J8" s="30"/>
      <c r="K8" s="30"/>
      <c r="L8" s="30"/>
      <c r="M8" s="30"/>
      <c r="N8" s="35"/>
      <c r="O8" s="35"/>
      <c r="P8" s="35"/>
      <c r="Q8" s="35"/>
    </row>
    <row r="9" spans="1:17" x14ac:dyDescent="0.35">
      <c r="A9" s="61"/>
      <c r="B9" s="100" t="s">
        <v>65</v>
      </c>
      <c r="C9" s="30"/>
      <c r="D9" s="30"/>
      <c r="E9" s="30"/>
      <c r="F9" s="30"/>
      <c r="G9" s="62"/>
      <c r="H9" s="30"/>
      <c r="I9" s="29">
        <f>SUM(I10+I17+I19+I24)</f>
        <v>24990250</v>
      </c>
      <c r="J9" s="63"/>
      <c r="K9" s="30"/>
      <c r="L9" s="64"/>
      <c r="M9" s="30"/>
      <c r="N9" s="35"/>
      <c r="O9" s="35"/>
      <c r="P9" s="35"/>
      <c r="Q9" s="35"/>
    </row>
    <row r="10" spans="1:17" x14ac:dyDescent="0.3">
      <c r="A10" s="61">
        <v>1</v>
      </c>
      <c r="B10" s="65" t="s">
        <v>66</v>
      </c>
      <c r="C10" s="30"/>
      <c r="D10" s="30"/>
      <c r="E10" s="30"/>
      <c r="F10" s="30"/>
      <c r="G10" s="62"/>
      <c r="H10" s="30"/>
      <c r="I10" s="29">
        <f>SUM(I11:I16)</f>
        <v>18504750</v>
      </c>
      <c r="J10" s="30"/>
      <c r="K10" s="30"/>
      <c r="L10" s="64"/>
      <c r="M10" s="30"/>
      <c r="N10" s="35"/>
      <c r="O10" s="35"/>
      <c r="P10" s="35"/>
      <c r="Q10" s="35"/>
    </row>
    <row r="11" spans="1:17" x14ac:dyDescent="0.35">
      <c r="A11" s="30"/>
      <c r="B11" s="66"/>
      <c r="C11" s="30" t="s">
        <v>97</v>
      </c>
      <c r="D11" s="30" t="s">
        <v>98</v>
      </c>
      <c r="E11" s="30">
        <v>1321</v>
      </c>
      <c r="F11" s="30" t="s">
        <v>53</v>
      </c>
      <c r="G11" s="62">
        <v>21000</v>
      </c>
      <c r="H11" s="30">
        <v>0.5</v>
      </c>
      <c r="I11" s="62">
        <f t="shared" ref="I11:I16" si="0">E11*G11*H11</f>
        <v>13870500</v>
      </c>
      <c r="J11" s="112">
        <v>1</v>
      </c>
      <c r="K11" s="112" t="s">
        <v>82</v>
      </c>
      <c r="L11" s="112">
        <v>240.2</v>
      </c>
      <c r="M11" s="112" t="s">
        <v>12</v>
      </c>
      <c r="N11" s="35">
        <f>10000/55000</f>
        <v>0.18181818181818182</v>
      </c>
      <c r="O11" s="35">
        <f>L11/N11</f>
        <v>1321.1</v>
      </c>
      <c r="P11" s="35"/>
      <c r="Q11" s="35"/>
    </row>
    <row r="12" spans="1:17" x14ac:dyDescent="0.35">
      <c r="A12" s="30"/>
      <c r="B12" s="66"/>
      <c r="C12" s="30" t="s">
        <v>97</v>
      </c>
      <c r="D12" s="30" t="s">
        <v>98</v>
      </c>
      <c r="E12" s="30">
        <v>661</v>
      </c>
      <c r="F12" s="30" t="s">
        <v>53</v>
      </c>
      <c r="G12" s="62">
        <v>21000</v>
      </c>
      <c r="H12" s="30">
        <v>0.1</v>
      </c>
      <c r="I12" s="62">
        <f t="shared" si="0"/>
        <v>1388100</v>
      </c>
      <c r="J12" s="114"/>
      <c r="K12" s="114"/>
      <c r="L12" s="114"/>
      <c r="M12" s="114"/>
      <c r="N12" s="35"/>
      <c r="O12" s="35"/>
      <c r="P12" s="35"/>
      <c r="Q12" s="35"/>
    </row>
    <row r="13" spans="1:17" x14ac:dyDescent="0.35">
      <c r="A13" s="30"/>
      <c r="B13" s="66"/>
      <c r="C13" s="30" t="s">
        <v>97</v>
      </c>
      <c r="D13" s="30" t="s">
        <v>98</v>
      </c>
      <c r="E13" s="30">
        <f>2265-E11-E12</f>
        <v>283</v>
      </c>
      <c r="F13" s="30" t="s">
        <v>53</v>
      </c>
      <c r="G13" s="62">
        <v>21000</v>
      </c>
      <c r="H13" s="30">
        <v>0</v>
      </c>
      <c r="I13" s="62">
        <f t="shared" si="0"/>
        <v>0</v>
      </c>
      <c r="J13" s="113"/>
      <c r="K13" s="113"/>
      <c r="L13" s="113"/>
      <c r="M13" s="113"/>
      <c r="N13" s="35"/>
      <c r="O13" s="35"/>
      <c r="P13" s="35"/>
      <c r="Q13" s="35"/>
    </row>
    <row r="14" spans="1:17" x14ac:dyDescent="0.35">
      <c r="A14" s="30"/>
      <c r="B14" s="66"/>
      <c r="C14" s="30" t="s">
        <v>97</v>
      </c>
      <c r="D14" s="30" t="s">
        <v>99</v>
      </c>
      <c r="E14" s="30">
        <v>207</v>
      </c>
      <c r="F14" s="30" t="s">
        <v>53</v>
      </c>
      <c r="G14" s="62">
        <v>28500</v>
      </c>
      <c r="H14" s="30">
        <v>0.5</v>
      </c>
      <c r="I14" s="62">
        <f t="shared" si="0"/>
        <v>2949750</v>
      </c>
      <c r="J14" s="112">
        <v>1</v>
      </c>
      <c r="K14" s="112" t="s">
        <v>81</v>
      </c>
      <c r="L14" s="112">
        <v>37.700000000000003</v>
      </c>
      <c r="M14" s="112" t="s">
        <v>12</v>
      </c>
      <c r="N14" s="35"/>
      <c r="O14" s="35">
        <f>L14/N11</f>
        <v>207.35000000000002</v>
      </c>
      <c r="P14" s="35"/>
      <c r="Q14" s="35"/>
    </row>
    <row r="15" spans="1:17" x14ac:dyDescent="0.35">
      <c r="A15" s="30"/>
      <c r="B15" s="66"/>
      <c r="C15" s="30" t="s">
        <v>97</v>
      </c>
      <c r="D15" s="30" t="s">
        <v>99</v>
      </c>
      <c r="E15" s="30">
        <v>104</v>
      </c>
      <c r="F15" s="30" t="s">
        <v>53</v>
      </c>
      <c r="G15" s="62">
        <v>28500</v>
      </c>
      <c r="H15" s="30">
        <v>0.1</v>
      </c>
      <c r="I15" s="62">
        <f t="shared" si="0"/>
        <v>296400</v>
      </c>
      <c r="J15" s="114"/>
      <c r="K15" s="114"/>
      <c r="L15" s="114"/>
      <c r="M15" s="114"/>
      <c r="N15" s="35"/>
      <c r="O15" s="35"/>
      <c r="P15" s="35"/>
      <c r="Q15" s="35"/>
    </row>
    <row r="16" spans="1:17" x14ac:dyDescent="0.35">
      <c r="A16" s="30"/>
      <c r="B16" s="66"/>
      <c r="C16" s="30" t="s">
        <v>97</v>
      </c>
      <c r="D16" s="30" t="s">
        <v>99</v>
      </c>
      <c r="E16" s="30">
        <f>609-E14-E15</f>
        <v>298</v>
      </c>
      <c r="F16" s="30" t="s">
        <v>53</v>
      </c>
      <c r="G16" s="62">
        <v>28500</v>
      </c>
      <c r="H16" s="30">
        <v>0</v>
      </c>
      <c r="I16" s="62">
        <f t="shared" si="0"/>
        <v>0</v>
      </c>
      <c r="J16" s="113"/>
      <c r="K16" s="113"/>
      <c r="L16" s="113"/>
      <c r="M16" s="113"/>
      <c r="N16" s="35"/>
      <c r="O16" s="35"/>
      <c r="P16" s="35"/>
      <c r="Q16" s="35"/>
    </row>
    <row r="17" spans="1:17" x14ac:dyDescent="0.35">
      <c r="A17" s="30">
        <v>2</v>
      </c>
      <c r="B17" s="66" t="s">
        <v>69</v>
      </c>
      <c r="C17" s="30"/>
      <c r="D17" s="30"/>
      <c r="E17" s="30"/>
      <c r="F17" s="30"/>
      <c r="G17" s="62"/>
      <c r="H17" s="30"/>
      <c r="I17" s="29">
        <f>SUM(I18:I18)</f>
        <v>53950.000000000007</v>
      </c>
      <c r="J17" s="30"/>
      <c r="K17" s="30"/>
      <c r="L17" s="30"/>
      <c r="M17" s="30"/>
      <c r="N17" s="35"/>
      <c r="O17" s="35"/>
      <c r="P17" s="35"/>
      <c r="Q17" s="35"/>
    </row>
    <row r="18" spans="1:17" x14ac:dyDescent="0.35">
      <c r="A18" s="30"/>
      <c r="B18" s="66"/>
      <c r="C18" s="30" t="s">
        <v>103</v>
      </c>
      <c r="D18" s="30"/>
      <c r="E18" s="30">
        <v>8.3000000000000007</v>
      </c>
      <c r="F18" s="30" t="s">
        <v>42</v>
      </c>
      <c r="G18" s="62">
        <v>6500</v>
      </c>
      <c r="H18" s="30">
        <v>1</v>
      </c>
      <c r="I18" s="62">
        <f t="shared" ref="I18" si="1">E18*G18*H18</f>
        <v>53950.000000000007</v>
      </c>
      <c r="J18" s="30">
        <v>1</v>
      </c>
      <c r="K18" s="30" t="s">
        <v>88</v>
      </c>
      <c r="L18" s="30">
        <v>8.3000000000000007</v>
      </c>
      <c r="M18" s="30" t="s">
        <v>13</v>
      </c>
      <c r="N18" s="35"/>
      <c r="O18" s="35"/>
      <c r="P18" s="35"/>
      <c r="Q18" s="35"/>
    </row>
    <row r="19" spans="1:17" x14ac:dyDescent="0.3">
      <c r="A19" s="30">
        <v>3</v>
      </c>
      <c r="B19" s="65" t="s">
        <v>72</v>
      </c>
      <c r="C19" s="30"/>
      <c r="D19" s="30"/>
      <c r="E19" s="30"/>
      <c r="F19" s="30"/>
      <c r="G19" s="30"/>
      <c r="H19" s="30"/>
      <c r="I19" s="29">
        <f>SUM(I20:I23)</f>
        <v>4960800</v>
      </c>
      <c r="J19" s="30"/>
      <c r="K19" s="30"/>
      <c r="L19" s="30"/>
      <c r="M19" s="30"/>
      <c r="N19" s="35"/>
      <c r="O19" s="35"/>
      <c r="P19" s="35"/>
      <c r="Q19" s="35"/>
    </row>
    <row r="20" spans="1:17" x14ac:dyDescent="0.35">
      <c r="A20" s="30"/>
      <c r="B20" s="66"/>
      <c r="C20" s="30" t="s">
        <v>97</v>
      </c>
      <c r="D20" s="30" t="s">
        <v>99</v>
      </c>
      <c r="E20" s="30">
        <v>224</v>
      </c>
      <c r="F20" s="30" t="s">
        <v>53</v>
      </c>
      <c r="G20" s="62">
        <v>28500</v>
      </c>
      <c r="H20" s="30">
        <v>0.5</v>
      </c>
      <c r="I20" s="62">
        <f>E20*G20*H20</f>
        <v>3192000</v>
      </c>
      <c r="J20" s="112">
        <v>1</v>
      </c>
      <c r="K20" s="112" t="s">
        <v>92</v>
      </c>
      <c r="L20" s="112">
        <v>40.799999999999997</v>
      </c>
      <c r="M20" s="112" t="s">
        <v>12</v>
      </c>
      <c r="N20" s="35"/>
      <c r="O20" s="35">
        <f>L20/N11</f>
        <v>224.39999999999998</v>
      </c>
      <c r="P20" s="35"/>
      <c r="Q20" s="35"/>
    </row>
    <row r="21" spans="1:17" x14ac:dyDescent="0.35">
      <c r="A21" s="30"/>
      <c r="B21" s="66"/>
      <c r="C21" s="30" t="s">
        <v>97</v>
      </c>
      <c r="D21" s="30" t="s">
        <v>99</v>
      </c>
      <c r="E21" s="30">
        <f>280-E20</f>
        <v>56</v>
      </c>
      <c r="F21" s="30" t="s">
        <v>53</v>
      </c>
      <c r="G21" s="62">
        <v>28500</v>
      </c>
      <c r="H21" s="30">
        <v>0.1</v>
      </c>
      <c r="I21" s="62">
        <f>E21*G21*H21</f>
        <v>159600</v>
      </c>
      <c r="J21" s="113"/>
      <c r="K21" s="113"/>
      <c r="L21" s="113"/>
      <c r="M21" s="113"/>
      <c r="N21" s="35"/>
      <c r="O21" s="35"/>
      <c r="P21" s="35"/>
      <c r="Q21" s="35"/>
    </row>
    <row r="22" spans="1:17" x14ac:dyDescent="0.35">
      <c r="A22" s="30"/>
      <c r="B22" s="66"/>
      <c r="C22" s="30" t="s">
        <v>97</v>
      </c>
      <c r="D22" s="30" t="s">
        <v>104</v>
      </c>
      <c r="E22" s="30">
        <v>114</v>
      </c>
      <c r="F22" s="30" t="s">
        <v>53</v>
      </c>
      <c r="G22" s="62">
        <v>27000</v>
      </c>
      <c r="H22" s="30">
        <v>0.5</v>
      </c>
      <c r="I22" s="62">
        <f>E22*G22*H22</f>
        <v>1539000</v>
      </c>
      <c r="J22" s="112">
        <v>1</v>
      </c>
      <c r="K22" s="112" t="s">
        <v>93</v>
      </c>
      <c r="L22" s="112">
        <v>20.8</v>
      </c>
      <c r="M22" s="112" t="s">
        <v>12</v>
      </c>
      <c r="N22" s="35"/>
      <c r="O22" s="35">
        <f>L22/N11</f>
        <v>114.4</v>
      </c>
      <c r="P22" s="35"/>
      <c r="Q22" s="35"/>
    </row>
    <row r="23" spans="1:17" ht="18" customHeight="1" x14ac:dyDescent="0.35">
      <c r="A23" s="30"/>
      <c r="B23" s="66"/>
      <c r="C23" s="30" t="s">
        <v>97</v>
      </c>
      <c r="D23" s="30" t="s">
        <v>104</v>
      </c>
      <c r="E23" s="30">
        <f>140-E22</f>
        <v>26</v>
      </c>
      <c r="F23" s="30" t="s">
        <v>53</v>
      </c>
      <c r="G23" s="62">
        <v>27000</v>
      </c>
      <c r="H23" s="30">
        <v>0.1</v>
      </c>
      <c r="I23" s="62">
        <f>E23*G23*H23</f>
        <v>70200</v>
      </c>
      <c r="J23" s="113"/>
      <c r="K23" s="113"/>
      <c r="L23" s="113"/>
      <c r="M23" s="113"/>
      <c r="N23" s="35"/>
      <c r="O23" s="35"/>
      <c r="P23" s="35"/>
      <c r="Q23" s="35"/>
    </row>
    <row r="24" spans="1:17" x14ac:dyDescent="0.3">
      <c r="A24" s="30">
        <v>4</v>
      </c>
      <c r="B24" s="65" t="s">
        <v>73</v>
      </c>
      <c r="C24" s="30"/>
      <c r="D24" s="30"/>
      <c r="E24" s="30"/>
      <c r="F24" s="30"/>
      <c r="G24" s="30"/>
      <c r="H24" s="30"/>
      <c r="I24" s="29">
        <f>SUM(I25:I26)</f>
        <v>1470750</v>
      </c>
      <c r="J24" s="30"/>
      <c r="K24" s="30"/>
      <c r="L24" s="30"/>
      <c r="M24" s="30"/>
      <c r="N24" s="35"/>
      <c r="O24" s="35"/>
      <c r="P24" s="35"/>
      <c r="Q24" s="35"/>
    </row>
    <row r="25" spans="1:17" ht="18.600000000000001" customHeight="1" x14ac:dyDescent="0.3">
      <c r="A25" s="30"/>
      <c r="B25" s="65"/>
      <c r="C25" s="30" t="s">
        <v>105</v>
      </c>
      <c r="D25" s="30"/>
      <c r="E25" s="30">
        <v>153.1</v>
      </c>
      <c r="F25" s="30" t="s">
        <v>42</v>
      </c>
      <c r="G25" s="62">
        <v>7500</v>
      </c>
      <c r="H25" s="30">
        <v>1</v>
      </c>
      <c r="I25" s="62">
        <f>E25*G25*H25</f>
        <v>1148250</v>
      </c>
      <c r="J25" s="30">
        <v>1</v>
      </c>
      <c r="K25" s="67" t="s">
        <v>95</v>
      </c>
      <c r="L25" s="30">
        <v>153.1</v>
      </c>
      <c r="M25" s="30" t="s">
        <v>49</v>
      </c>
      <c r="N25" s="35"/>
      <c r="O25" s="35"/>
      <c r="P25" s="35"/>
      <c r="Q25" s="35"/>
    </row>
    <row r="26" spans="1:17" x14ac:dyDescent="0.35">
      <c r="A26" s="30"/>
      <c r="B26" s="66"/>
      <c r="C26" s="30" t="s">
        <v>105</v>
      </c>
      <c r="D26" s="30"/>
      <c r="E26" s="30">
        <v>43</v>
      </c>
      <c r="F26" s="30" t="s">
        <v>42</v>
      </c>
      <c r="G26" s="62">
        <v>7500</v>
      </c>
      <c r="H26" s="30">
        <v>1</v>
      </c>
      <c r="I26" s="62">
        <f t="shared" ref="I26" si="2">E26*G26*H26</f>
        <v>322500</v>
      </c>
      <c r="J26" s="67" t="s">
        <v>106</v>
      </c>
      <c r="K26" s="97" t="s">
        <v>94</v>
      </c>
      <c r="L26" s="30">
        <v>43</v>
      </c>
      <c r="M26" s="30" t="s">
        <v>49</v>
      </c>
      <c r="N26" s="35"/>
      <c r="O26" s="35"/>
      <c r="P26" s="35"/>
      <c r="Q26" s="35"/>
    </row>
  </sheetData>
  <autoFilter ref="A7:O26" xr:uid="{00000000-0001-0000-0200-000000000000}"/>
  <mergeCells count="30">
    <mergeCell ref="J5:L5"/>
    <mergeCell ref="M5:M6"/>
    <mergeCell ref="A1:I1"/>
    <mergeCell ref="H4:I4"/>
    <mergeCell ref="A5:A6"/>
    <mergeCell ref="B5:B6"/>
    <mergeCell ref="C5:C6"/>
    <mergeCell ref="H5:H6"/>
    <mergeCell ref="I5:I6"/>
    <mergeCell ref="D5:D6"/>
    <mergeCell ref="E5:E6"/>
    <mergeCell ref="F5:F6"/>
    <mergeCell ref="G5:G6"/>
    <mergeCell ref="A2:I3"/>
    <mergeCell ref="K11:K13"/>
    <mergeCell ref="L11:L13"/>
    <mergeCell ref="M11:M13"/>
    <mergeCell ref="J14:J16"/>
    <mergeCell ref="K14:K16"/>
    <mergeCell ref="L14:L16"/>
    <mergeCell ref="M14:M16"/>
    <mergeCell ref="J11:J13"/>
    <mergeCell ref="J20:J21"/>
    <mergeCell ref="K20:K21"/>
    <mergeCell ref="L20:L21"/>
    <mergeCell ref="M20:M21"/>
    <mergeCell ref="J22:J23"/>
    <mergeCell ref="K22:K23"/>
    <mergeCell ref="L22:L23"/>
    <mergeCell ref="M22:M23"/>
  </mergeCells>
  <phoneticPr fontId="9" type="noConversion"/>
  <conditionalFormatting sqref="B10">
    <cfRule type="duplicateValues" dxfId="5" priority="21"/>
    <cfRule type="duplicateValues" dxfId="4" priority="22"/>
  </conditionalFormatting>
  <conditionalFormatting sqref="B19">
    <cfRule type="duplicateValues" dxfId="3" priority="19"/>
    <cfRule type="duplicateValues" dxfId="2" priority="20"/>
  </conditionalFormatting>
  <conditionalFormatting sqref="B24:B25">
    <cfRule type="duplicateValues" dxfId="1" priority="17"/>
    <cfRule type="duplicateValues" dxfId="0" priority="18"/>
  </conditionalFormatting>
  <pageMargins left="0.39370078740157483" right="0.39370078740157483" top="0.39370078740157483" bottom="0.39370078740157483" header="0.31496062992125984" footer="0.31496062992125984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zoomScale="96" zoomScaleNormal="96" zoomScaleSheetLayoutView="70" workbookViewId="0">
      <selection sqref="A1:J1"/>
    </sheetView>
  </sheetViews>
  <sheetFormatPr defaultColWidth="8.90625" defaultRowHeight="15.6" x14ac:dyDescent="0.35"/>
  <cols>
    <col min="1" max="1" width="4.81640625" style="20" customWidth="1"/>
    <col min="2" max="2" width="29.453125" style="12" customWidth="1"/>
    <col min="3" max="3" width="7.90625" style="20" customWidth="1"/>
    <col min="4" max="4" width="11.453125" style="20" customWidth="1"/>
    <col min="5" max="5" width="9.81640625" style="20" customWidth="1"/>
    <col min="6" max="6" width="8.90625" style="20"/>
    <col min="7" max="7" width="12.453125" style="21" customWidth="1"/>
    <col min="8" max="8" width="6.90625" style="12" customWidth="1"/>
    <col min="9" max="9" width="9.26953125" style="12" customWidth="1"/>
    <col min="10" max="16384" width="8.90625" style="12"/>
  </cols>
  <sheetData>
    <row r="1" spans="1:10" ht="16.8" x14ac:dyDescent="0.35">
      <c r="A1" s="141" t="s">
        <v>34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ht="18" customHeight="1" x14ac:dyDescent="0.35">
      <c r="A2" s="75"/>
      <c r="B2" s="117" t="s">
        <v>101</v>
      </c>
      <c r="C2" s="117"/>
      <c r="D2" s="117"/>
      <c r="E2" s="117"/>
      <c r="F2" s="117"/>
      <c r="G2" s="117"/>
      <c r="H2" s="117"/>
      <c r="I2" s="117"/>
      <c r="J2" s="117"/>
    </row>
    <row r="3" spans="1:10" x14ac:dyDescent="0.35">
      <c r="A3" s="40"/>
      <c r="B3" s="40"/>
      <c r="C3" s="40"/>
      <c r="D3" s="40"/>
      <c r="E3" s="40"/>
      <c r="F3" s="40"/>
      <c r="G3" s="40"/>
      <c r="H3" s="40"/>
      <c r="I3" s="40"/>
      <c r="J3" s="76"/>
    </row>
    <row r="4" spans="1:10" x14ac:dyDescent="0.35">
      <c r="A4" s="77"/>
      <c r="B4" s="78"/>
      <c r="C4" s="9"/>
      <c r="D4" s="79"/>
      <c r="E4" s="80"/>
      <c r="F4" s="81"/>
      <c r="H4" s="82" t="s">
        <v>0</v>
      </c>
      <c r="I4" s="83"/>
      <c r="J4" s="84"/>
    </row>
    <row r="5" spans="1:10" ht="32.4" x14ac:dyDescent="0.35">
      <c r="A5" s="85" t="s">
        <v>15</v>
      </c>
      <c r="B5" s="10" t="s">
        <v>102</v>
      </c>
      <c r="C5" s="10" t="s">
        <v>35</v>
      </c>
      <c r="D5" s="86" t="s">
        <v>36</v>
      </c>
      <c r="E5" s="87" t="s">
        <v>37</v>
      </c>
      <c r="F5" s="87" t="s">
        <v>17</v>
      </c>
      <c r="G5" s="29" t="s">
        <v>38</v>
      </c>
      <c r="H5" s="10" t="s">
        <v>39</v>
      </c>
      <c r="I5" s="10" t="s">
        <v>33</v>
      </c>
      <c r="J5" s="10" t="s">
        <v>19</v>
      </c>
    </row>
    <row r="6" spans="1:10" x14ac:dyDescent="0.35">
      <c r="A6" s="30"/>
      <c r="B6" s="88" t="s">
        <v>131</v>
      </c>
      <c r="C6" s="30"/>
      <c r="D6" s="89"/>
      <c r="E6" s="89"/>
      <c r="F6" s="90"/>
      <c r="G6" s="62"/>
      <c r="H6" s="91"/>
      <c r="I6" s="93">
        <f>SUM(I7)</f>
        <v>734400</v>
      </c>
      <c r="J6" s="63"/>
    </row>
    <row r="7" spans="1:10" x14ac:dyDescent="0.35">
      <c r="A7" s="30">
        <f>COUNTA(#REF!)</f>
        <v>1</v>
      </c>
      <c r="B7" s="94" t="s">
        <v>67</v>
      </c>
      <c r="C7" s="30"/>
      <c r="D7" s="89"/>
      <c r="E7" s="89"/>
      <c r="F7" s="90"/>
      <c r="G7" s="62"/>
      <c r="H7" s="91"/>
      <c r="I7" s="92">
        <f>SUM(I8)</f>
        <v>734400</v>
      </c>
      <c r="J7" s="63"/>
    </row>
    <row r="8" spans="1:10" x14ac:dyDescent="0.35">
      <c r="A8" s="30"/>
      <c r="B8" s="95" t="s">
        <v>43</v>
      </c>
      <c r="C8" s="30"/>
      <c r="D8" s="89" t="s">
        <v>100</v>
      </c>
      <c r="E8" s="89">
        <f>8*0.2</f>
        <v>1.6</v>
      </c>
      <c r="F8" s="90" t="s">
        <v>42</v>
      </c>
      <c r="G8" s="62">
        <f>679000-220000</f>
        <v>459000</v>
      </c>
      <c r="H8" s="91">
        <v>1</v>
      </c>
      <c r="I8" s="96">
        <f>E8*G8*H8</f>
        <v>734400</v>
      </c>
      <c r="J8" s="63"/>
    </row>
    <row r="9" spans="1:10" x14ac:dyDescent="0.35">
      <c r="A9" s="42">
        <v>2</v>
      </c>
      <c r="B9" s="48" t="s">
        <v>47</v>
      </c>
      <c r="C9" s="42"/>
      <c r="D9" s="43"/>
      <c r="E9" s="43"/>
      <c r="F9" s="44"/>
      <c r="G9" s="45"/>
      <c r="H9" s="46"/>
      <c r="I9" s="49">
        <f>SUM(I10)</f>
        <v>1652399.9999999998</v>
      </c>
      <c r="J9" s="47"/>
    </row>
    <row r="10" spans="1:10" x14ac:dyDescent="0.35">
      <c r="A10" s="42"/>
      <c r="B10" s="50" t="s">
        <v>43</v>
      </c>
      <c r="C10" s="42"/>
      <c r="D10" s="42" t="s">
        <v>48</v>
      </c>
      <c r="E10" s="42">
        <f>3*1.2</f>
        <v>3.5999999999999996</v>
      </c>
      <c r="F10" s="44" t="s">
        <v>42</v>
      </c>
      <c r="G10" s="45">
        <f>679000-220000</f>
        <v>459000</v>
      </c>
      <c r="H10" s="46">
        <v>1</v>
      </c>
      <c r="I10" s="49">
        <f t="shared" ref="I10" si="0">E10*G10*H10</f>
        <v>1652399.9999999998</v>
      </c>
      <c r="J10" s="47"/>
    </row>
  </sheetData>
  <autoFilter ref="A5:J10" xr:uid="{00000000-0001-0000-0300-000000000000}"/>
  <mergeCells count="2">
    <mergeCell ref="B2:J2"/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Tổng</vt:lpstr>
      <vt:lpstr>Đất</vt:lpstr>
      <vt:lpstr>Cây</vt:lpstr>
      <vt:lpstr>Công trình</vt:lpstr>
      <vt:lpstr>Cây!Print_Area</vt:lpstr>
      <vt:lpstr>'Công trình'!Print_Area</vt:lpstr>
      <vt:lpstr>Đất!Print_Area</vt:lpstr>
      <vt:lpstr>Tổng!Print_Area</vt:lpstr>
      <vt:lpstr>Cây!Print_Titles</vt:lpstr>
      <vt:lpstr>Đất!Print_Titles</vt:lpstr>
      <vt:lpstr>Tổng!Print_Titles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cp:lastPrinted>2026-07-30T08:33:02Z</cp:lastPrinted>
  <dcterms:created xsi:type="dcterms:W3CDTF">2021-01-19T00:36:11Z</dcterms:created>
  <dcterms:modified xsi:type="dcterms:W3CDTF">2026-07-30T08:33:08Z</dcterms:modified>
  <cp:category/>
  <cp:contentStatus/>
</cp:coreProperties>
</file>